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drawings/drawing1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8.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9.xml" ContentType="application/vnd.openxmlformats-officedocument.themeOverride+xml"/>
  <Override PartName="/xl/drawings/drawing17.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0.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1.xml" ContentType="application/vnd.openxmlformats-officedocument.themeOverride+xml"/>
  <Override PartName="/xl/drawings/drawing2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2.xml" ContentType="application/vnd.openxmlformats-officedocument.themeOverride+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D:\Mes documents\_Boigneville\calculette intrants\"/>
    </mc:Choice>
  </mc:AlternateContent>
  <xr:revisionPtr revIDLastSave="0" documentId="13_ncr:1_{489C596C-0EC3-433B-B625-F3DE7A73E435}" xr6:coauthVersionLast="47" xr6:coauthVersionMax="47" xr10:uidLastSave="{00000000-0000-0000-0000-000000000000}"/>
  <workbookProtection workbookAlgorithmName="SHA-512" workbookHashValue="ZPaxw2s14+j/O9lsOHfGzlIKo4cPGH4XkK7hkCO6+7805KedPg/soaIDvJTzwh7WXhY56VxeTn6E9XBOEg/pmg==" workbookSaltValue="/2oW54BT+njmcc2QFgLqcw==" workbookSpinCount="100000" lockStructure="1"/>
  <bookViews>
    <workbookView xWindow="-120" yWindow="-120" windowWidth="20640" windowHeight="11310" tabRatio="668" activeTab="1" xr2:uid="{00000000-000D-0000-FFFF-FFFF00000000}"/>
  </bookViews>
  <sheets>
    <sheet name="PRISE EN MAIN" sheetId="68" r:id="rId1"/>
    <sheet name="SAISIE" sheetId="58" r:id="rId2"/>
    <sheet name="RESULTATS Synthèse" sheetId="71" r:id="rId3"/>
    <sheet name="RESULTATS Tableaux" sheetId="79" r:id="rId4"/>
    <sheet name="RESULTATS CoutP-Seuil Com-Marge" sheetId="80" r:id="rId5"/>
    <sheet name="RESULTATS Ecart € Tonne" sheetId="81" r:id="rId6"/>
    <sheet name="RESULTATS Ecart € Hectare" sheetId="82" r:id="rId7"/>
  </sheets>
  <definedNames>
    <definedName name="_xlnm.Print_Area" localSheetId="0">'PRISE EN MAIN'!$A$1:$Z$120</definedName>
    <definedName name="_xlnm.Print_Area" localSheetId="4">'RESULTATS CoutP-Seuil Com-Marge'!$A$1:$AV$38</definedName>
    <definedName name="_xlnm.Print_Area" localSheetId="6">'RESULTATS Ecart € Hectare'!$A$1:$AV$41</definedName>
    <definedName name="_xlnm.Print_Area" localSheetId="5">'RESULTATS Ecart € Tonne'!$A$1:$AV$41</definedName>
    <definedName name="_xlnm.Print_Area" localSheetId="2">'RESULTATS Synthèse'!$A$1:$BM$61</definedName>
    <definedName name="_xlnm.Print_Area" localSheetId="3">'RESULTATS Tableaux'!$A$1:$AD$49</definedName>
    <definedName name="_xlnm.Print_Area" localSheetId="1">SAISIE!$A$1:$AY$70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68" l="1"/>
  <c r="AD11" i="79" l="1"/>
  <c r="AV14" i="80"/>
  <c r="A16" i="82"/>
  <c r="A16" i="81"/>
  <c r="A16" i="80"/>
  <c r="AV14" i="82"/>
  <c r="AV14" i="81"/>
  <c r="Y17" i="79"/>
  <c r="Z17" i="79"/>
  <c r="X17" i="79"/>
  <c r="T14" i="79"/>
  <c r="A32" i="79"/>
  <c r="T32" i="79" s="1"/>
  <c r="A31" i="79"/>
  <c r="T31" i="79" s="1"/>
  <c r="A30" i="79"/>
  <c r="T30" i="79" s="1"/>
  <c r="A29" i="79"/>
  <c r="T29" i="79" s="1"/>
  <c r="A28" i="79"/>
  <c r="T28" i="79" s="1"/>
  <c r="A27" i="79"/>
  <c r="T27" i="79" s="1"/>
  <c r="A26" i="79"/>
  <c r="T26" i="79" s="1"/>
  <c r="A25" i="79"/>
  <c r="T25" i="79" s="1"/>
  <c r="A24" i="79"/>
  <c r="T24" i="79" s="1"/>
  <c r="A23" i="79"/>
  <c r="T23" i="79" s="1"/>
  <c r="A22" i="79"/>
  <c r="T22" i="79" s="1"/>
  <c r="A21" i="79"/>
  <c r="T21" i="79" s="1"/>
  <c r="A20" i="79"/>
  <c r="T20" i="79" s="1"/>
  <c r="A19" i="79"/>
  <c r="T19" i="79" s="1"/>
  <c r="A18" i="79"/>
  <c r="T18" i="79" s="1"/>
  <c r="A14" i="79"/>
  <c r="V21" i="58"/>
  <c r="AA21" i="58"/>
  <c r="AL28" i="58"/>
  <c r="AL53" i="58"/>
  <c r="AL51" i="58"/>
  <c r="AL41" i="58"/>
  <c r="AL39" i="58"/>
  <c r="AL26" i="58"/>
  <c r="BD39" i="58" l="1"/>
  <c r="BD38" i="58"/>
  <c r="BD37" i="58"/>
  <c r="BF36" i="58"/>
  <c r="BE36" i="58"/>
  <c r="BD36" i="58"/>
  <c r="BD35" i="58"/>
  <c r="BD34" i="58"/>
  <c r="BD33" i="58"/>
  <c r="BD32" i="58"/>
  <c r="X23" i="58" l="1"/>
  <c r="T57" i="58"/>
  <c r="BE44" i="58"/>
  <c r="BN44" i="58" s="1"/>
  <c r="BD44" i="58"/>
  <c r="BG44" i="58" s="1"/>
  <c r="S49" i="58"/>
  <c r="BD43" i="58"/>
  <c r="BM43" i="58" s="1"/>
  <c r="BD42" i="58"/>
  <c r="BJ42" i="58" s="1"/>
  <c r="BD41" i="58"/>
  <c r="BJ41" i="58" s="1"/>
  <c r="BF40" i="58"/>
  <c r="BI40" i="58" s="1"/>
  <c r="BE40" i="58"/>
  <c r="BH40" i="58" s="1"/>
  <c r="BD40" i="58"/>
  <c r="BJ40" i="58" s="1"/>
  <c r="BF39" i="58"/>
  <c r="BO39" i="58" s="1"/>
  <c r="BG39" i="58"/>
  <c r="BG38" i="58"/>
  <c r="BM37" i="58"/>
  <c r="BL36" i="58"/>
  <c r="BN36" i="58"/>
  <c r="BM36" i="58"/>
  <c r="BM35" i="58"/>
  <c r="BJ34" i="58"/>
  <c r="BG33" i="58"/>
  <c r="BM32" i="58"/>
  <c r="BE32" i="58"/>
  <c r="BN32" i="58" s="1"/>
  <c r="BE38" i="58"/>
  <c r="BH38" i="58" s="1"/>
  <c r="U44" i="58"/>
  <c r="U45" i="58"/>
  <c r="U42" i="58"/>
  <c r="U70" i="58"/>
  <c r="U33" i="58"/>
  <c r="U37" i="58"/>
  <c r="BE37" i="58"/>
  <c r="U50" i="58"/>
  <c r="U51" i="58"/>
  <c r="U52" i="58"/>
  <c r="T54" i="58"/>
  <c r="U59" i="58"/>
  <c r="U60" i="58"/>
  <c r="T62" i="58"/>
  <c r="U63" i="58"/>
  <c r="U34" i="58"/>
  <c r="Q168" i="58"/>
  <c r="M168" i="58"/>
  <c r="I168" i="58"/>
  <c r="F168" i="58"/>
  <c r="P168" i="58"/>
  <c r="L168" i="58"/>
  <c r="H168" i="58"/>
  <c r="E168" i="58"/>
  <c r="R168" i="58"/>
  <c r="N168" i="58"/>
  <c r="J168" i="58"/>
  <c r="G168" i="58"/>
  <c r="S43" i="58"/>
  <c r="S44" i="58"/>
  <c r="S45" i="58"/>
  <c r="S46" i="58"/>
  <c r="T46" i="58"/>
  <c r="U46" i="58"/>
  <c r="BM11" i="71"/>
  <c r="U38" i="58"/>
  <c r="T36" i="58"/>
  <c r="U41" i="58"/>
  <c r="T40" i="58"/>
  <c r="T39" i="58"/>
  <c r="B15" i="71"/>
  <c r="B33" i="71"/>
  <c r="B32" i="71"/>
  <c r="B31" i="71"/>
  <c r="B30" i="71"/>
  <c r="B29" i="71"/>
  <c r="B28" i="71"/>
  <c r="B27" i="71"/>
  <c r="B26" i="71"/>
  <c r="B25" i="71"/>
  <c r="B24" i="71"/>
  <c r="B23" i="71"/>
  <c r="B22" i="71"/>
  <c r="B21" i="71"/>
  <c r="B20" i="71"/>
  <c r="B19" i="71"/>
  <c r="K129" i="58"/>
  <c r="G128" i="58"/>
  <c r="J128" i="58" s="1"/>
  <c r="F128" i="58"/>
  <c r="I128" i="58" s="1"/>
  <c r="E128" i="58"/>
  <c r="H128" i="58" s="1"/>
  <c r="AA17" i="58"/>
  <c r="S32" i="58"/>
  <c r="S50" i="58"/>
  <c r="S70" i="58"/>
  <c r="S69" i="58"/>
  <c r="S63" i="58"/>
  <c r="S67" i="58"/>
  <c r="S62" i="58"/>
  <c r="S61" i="58"/>
  <c r="S60" i="58"/>
  <c r="S59" i="58"/>
  <c r="S58" i="58"/>
  <c r="S57" i="58"/>
  <c r="S56" i="58"/>
  <c r="S54" i="58"/>
  <c r="S53" i="58"/>
  <c r="S52" i="58"/>
  <c r="S51" i="58"/>
  <c r="S48" i="58"/>
  <c r="S42" i="58"/>
  <c r="S47" i="58"/>
  <c r="S39" i="58"/>
  <c r="S40" i="58"/>
  <c r="S41" i="58"/>
  <c r="T41" i="58"/>
  <c r="S38" i="58"/>
  <c r="S34" i="58"/>
  <c r="T34" i="58"/>
  <c r="S35" i="58"/>
  <c r="S36" i="58"/>
  <c r="U36" i="58"/>
  <c r="S37" i="58"/>
  <c r="S33" i="58"/>
  <c r="H129" i="58" l="1"/>
  <c r="V129" i="58" s="1"/>
  <c r="L129" i="58"/>
  <c r="Z129" i="58" s="1"/>
  <c r="U35" i="58"/>
  <c r="BE34" i="58"/>
  <c r="BE33" i="58"/>
  <c r="BN33" i="58" s="1"/>
  <c r="BF35" i="58"/>
  <c r="BE35" i="58"/>
  <c r="BG36" i="58"/>
  <c r="T49" i="58"/>
  <c r="BL40" i="58"/>
  <c r="BM44" i="58"/>
  <c r="BJ44" i="58"/>
  <c r="BJ43" i="58"/>
  <c r="BM41" i="58"/>
  <c r="BF41" i="58"/>
  <c r="BO41" i="58" s="1"/>
  <c r="BM40" i="58"/>
  <c r="BI36" i="58"/>
  <c r="BF44" i="58"/>
  <c r="BL44" i="58" s="1"/>
  <c r="BH36" i="58"/>
  <c r="T48" i="58"/>
  <c r="BK44" i="58"/>
  <c r="BK40" i="58"/>
  <c r="BG35" i="58"/>
  <c r="BL39" i="58"/>
  <c r="BJ33" i="58"/>
  <c r="BH44" i="58"/>
  <c r="BK38" i="58"/>
  <c r="BO40" i="58"/>
  <c r="BJ37" i="58"/>
  <c r="BO36" i="58"/>
  <c r="BF37" i="58"/>
  <c r="BH37" i="58"/>
  <c r="BN37" i="58"/>
  <c r="BK37" i="58"/>
  <c r="BG40" i="58"/>
  <c r="BM38" i="58"/>
  <c r="BK36" i="58"/>
  <c r="BJ35" i="58"/>
  <c r="BG34" i="58"/>
  <c r="BM42" i="58"/>
  <c r="BM34" i="58"/>
  <c r="BG41" i="58"/>
  <c r="BM39" i="58"/>
  <c r="BJ36" i="58"/>
  <c r="BM33" i="58"/>
  <c r="BN38" i="58"/>
  <c r="BG42" i="58"/>
  <c r="BJ38" i="58"/>
  <c r="U57" i="58"/>
  <c r="Z57" i="58" s="1"/>
  <c r="Z46" i="58"/>
  <c r="BE39" i="58"/>
  <c r="BI39" i="58"/>
  <c r="BG37" i="58"/>
  <c r="BN40" i="58"/>
  <c r="BJ39" i="58"/>
  <c r="BG32" i="58"/>
  <c r="BH32" i="58"/>
  <c r="BJ32" i="58"/>
  <c r="BK32" i="58"/>
  <c r="BD45" i="58"/>
  <c r="BG49" i="58" s="1"/>
  <c r="BG43" i="58"/>
  <c r="U49" i="58"/>
  <c r="BF32" i="58"/>
  <c r="BE42" i="58"/>
  <c r="T53" i="58"/>
  <c r="BE43" i="58"/>
  <c r="T52" i="58"/>
  <c r="Z52" i="58" s="1"/>
  <c r="BE41" i="58"/>
  <c r="Y46" i="58"/>
  <c r="X46" i="58"/>
  <c r="U62" i="58"/>
  <c r="X62" i="58" s="1"/>
  <c r="BF42" i="58"/>
  <c r="T43" i="58"/>
  <c r="T70" i="58"/>
  <c r="Z70" i="58" s="1"/>
  <c r="T35" i="58"/>
  <c r="T33" i="58"/>
  <c r="Z33" i="58" s="1"/>
  <c r="T37" i="58"/>
  <c r="X37" i="58" s="1"/>
  <c r="T47" i="58"/>
  <c r="T60" i="58"/>
  <c r="X60" i="58" s="1"/>
  <c r="T56" i="58"/>
  <c r="T45" i="58"/>
  <c r="Y45" i="58" s="1"/>
  <c r="T44" i="58"/>
  <c r="Y44" i="58" s="1"/>
  <c r="T42" i="58"/>
  <c r="X42" i="58" s="1"/>
  <c r="T63" i="58"/>
  <c r="Y63" i="58" s="1"/>
  <c r="T50" i="58"/>
  <c r="Z50" i="58" s="1"/>
  <c r="T51" i="58"/>
  <c r="X51" i="58" s="1"/>
  <c r="T67" i="58"/>
  <c r="T59" i="58"/>
  <c r="Z59" i="58" s="1"/>
  <c r="U67" i="58"/>
  <c r="T58" i="58"/>
  <c r="U53" i="58"/>
  <c r="U69" i="58"/>
  <c r="U61" i="58"/>
  <c r="U47" i="58"/>
  <c r="U40" i="58"/>
  <c r="Z40" i="58" s="1"/>
  <c r="U39" i="58"/>
  <c r="Z39" i="58" s="1"/>
  <c r="T38" i="58"/>
  <c r="Z38" i="58" s="1"/>
  <c r="T69" i="58"/>
  <c r="T32" i="58"/>
  <c r="T61" i="58"/>
  <c r="U58" i="58"/>
  <c r="U56" i="58"/>
  <c r="X34" i="58"/>
  <c r="Y36" i="58"/>
  <c r="Z41" i="58"/>
  <c r="X41" i="58"/>
  <c r="Z36" i="58"/>
  <c r="X36" i="58"/>
  <c r="Y41" i="58"/>
  <c r="Z34" i="58"/>
  <c r="Y34" i="58"/>
  <c r="I129" i="58"/>
  <c r="E155" i="58"/>
  <c r="P129" i="58"/>
  <c r="N128" i="58"/>
  <c r="R128" i="58" s="1"/>
  <c r="L128" i="58"/>
  <c r="M128" i="58"/>
  <c r="Q128" i="58" s="1"/>
  <c r="C182" i="58"/>
  <c r="C176" i="58"/>
  <c r="C174" i="58"/>
  <c r="F200" i="58" l="1"/>
  <c r="K21" i="81" s="1"/>
  <c r="U21" i="81" s="1"/>
  <c r="X67" i="58"/>
  <c r="AA41" i="58"/>
  <c r="BI44" i="58"/>
  <c r="BF34" i="58"/>
  <c r="BF33" i="58"/>
  <c r="BO33" i="58" s="1"/>
  <c r="BO44" i="58"/>
  <c r="U43" i="58"/>
  <c r="X43" i="58" s="1"/>
  <c r="X40" i="58"/>
  <c r="X39" i="58"/>
  <c r="J129" i="58"/>
  <c r="Y52" i="58"/>
  <c r="X52" i="58"/>
  <c r="BF38" i="58"/>
  <c r="BI38" i="58" s="1"/>
  <c r="BH33" i="58"/>
  <c r="BK33" i="58"/>
  <c r="X49" i="58"/>
  <c r="BM45" i="58"/>
  <c r="BM46" i="58" s="1"/>
  <c r="U54" i="58"/>
  <c r="X54" i="58" s="1"/>
  <c r="Y57" i="58"/>
  <c r="U32" i="58"/>
  <c r="Y32" i="58" s="1"/>
  <c r="BI41" i="58"/>
  <c r="BL41" i="58"/>
  <c r="BO37" i="58"/>
  <c r="BI37" i="58"/>
  <c r="U48" i="58"/>
  <c r="Y48" i="58" s="1"/>
  <c r="BL37" i="58"/>
  <c r="X53" i="58"/>
  <c r="BK41" i="58"/>
  <c r="BN41" i="58"/>
  <c r="BH41" i="58"/>
  <c r="BJ45" i="58"/>
  <c r="BJ46" i="58" s="1"/>
  <c r="X57" i="58"/>
  <c r="BK42" i="58"/>
  <c r="BN42" i="58"/>
  <c r="BH42" i="58"/>
  <c r="BL42" i="58"/>
  <c r="BO42" i="58"/>
  <c r="BI42" i="58"/>
  <c r="BO35" i="58"/>
  <c r="BL35" i="58"/>
  <c r="BI35" i="58"/>
  <c r="BF43" i="58"/>
  <c r="BO43" i="58" s="1"/>
  <c r="BN35" i="58"/>
  <c r="BK35" i="58"/>
  <c r="BH35" i="58"/>
  <c r="BN39" i="58"/>
  <c r="BH39" i="58"/>
  <c r="BK39" i="58"/>
  <c r="BJ47" i="58"/>
  <c r="BL32" i="58"/>
  <c r="BO32" i="58"/>
  <c r="BI32" i="58"/>
  <c r="BJ49" i="58"/>
  <c r="BH34" i="58"/>
  <c r="BK34" i="58"/>
  <c r="BN34" i="58"/>
  <c r="BH43" i="58"/>
  <c r="BK43" i="58"/>
  <c r="BN43" i="58"/>
  <c r="BE45" i="58"/>
  <c r="BE46" i="58" s="1"/>
  <c r="BM49" i="58"/>
  <c r="BG46" i="58"/>
  <c r="BG45" i="58"/>
  <c r="BD46" i="58"/>
  <c r="BM48" i="58" s="1"/>
  <c r="BM47" i="58"/>
  <c r="BG47" i="58"/>
  <c r="N129" i="58"/>
  <c r="R129" i="58"/>
  <c r="V46" i="58"/>
  <c r="X38" i="58"/>
  <c r="Z56" i="58"/>
  <c r="X70" i="58"/>
  <c r="Z35" i="58"/>
  <c r="Z63" i="58"/>
  <c r="Y70" i="58"/>
  <c r="X47" i="58"/>
  <c r="Y51" i="58"/>
  <c r="Z37" i="58"/>
  <c r="X33" i="58"/>
  <c r="Y33" i="58"/>
  <c r="F201" i="58"/>
  <c r="N21" i="81" s="1"/>
  <c r="Z21" i="81" s="1"/>
  <c r="X44" i="58"/>
  <c r="X35" i="58"/>
  <c r="Y37" i="58"/>
  <c r="Z45" i="58"/>
  <c r="X45" i="58"/>
  <c r="Y49" i="58"/>
  <c r="X63" i="58"/>
  <c r="Z67" i="58"/>
  <c r="X59" i="58"/>
  <c r="Y60" i="58"/>
  <c r="Y59" i="58"/>
  <c r="Z60" i="58"/>
  <c r="Z44" i="58"/>
  <c r="Y42" i="58"/>
  <c r="Z42" i="58"/>
  <c r="Z51" i="58"/>
  <c r="Y67" i="58"/>
  <c r="X50" i="58"/>
  <c r="Y50" i="58"/>
  <c r="Y69" i="58"/>
  <c r="Z69" i="58"/>
  <c r="X69" i="58"/>
  <c r="X58" i="58"/>
  <c r="Y53" i="58"/>
  <c r="Z53" i="58"/>
  <c r="Z61" i="58"/>
  <c r="Z47" i="58"/>
  <c r="Y47" i="58"/>
  <c r="X56" i="58"/>
  <c r="Y40" i="58"/>
  <c r="Y39" i="58"/>
  <c r="Y38" i="58"/>
  <c r="Y35" i="58"/>
  <c r="X61" i="58"/>
  <c r="Z49" i="58"/>
  <c r="Y62" i="58"/>
  <c r="Z62" i="58"/>
  <c r="Y61" i="58"/>
  <c r="Y58" i="58"/>
  <c r="Z58" i="58"/>
  <c r="Y56" i="58"/>
  <c r="AD129" i="58"/>
  <c r="W129" i="58"/>
  <c r="M129" i="58"/>
  <c r="Q129" i="58"/>
  <c r="P128" i="58"/>
  <c r="S128" i="58" s="1"/>
  <c r="AA34" i="58"/>
  <c r="V34" i="58"/>
  <c r="U16" i="71" l="1"/>
  <c r="AE16" i="71" s="1"/>
  <c r="E14" i="79"/>
  <c r="B34" i="79" s="1"/>
  <c r="F15" i="71"/>
  <c r="B35" i="71" s="1"/>
  <c r="F202" i="58"/>
  <c r="Q21" i="81" s="1"/>
  <c r="AD21" i="81" s="1"/>
  <c r="AA38" i="58"/>
  <c r="E200" i="58"/>
  <c r="E199" i="58"/>
  <c r="BI33" i="58"/>
  <c r="BL33" i="58"/>
  <c r="BL34" i="58"/>
  <c r="BO34" i="58"/>
  <c r="BI34" i="58"/>
  <c r="X129" i="58"/>
  <c r="Y43" i="58"/>
  <c r="Z43" i="58"/>
  <c r="Z48" i="58"/>
  <c r="X16" i="71"/>
  <c r="AJ16" i="71" s="1"/>
  <c r="BL38" i="58"/>
  <c r="BO38" i="58"/>
  <c r="BO45" i="58" s="1"/>
  <c r="BO46" i="58" s="1"/>
  <c r="Z54" i="58"/>
  <c r="Y54" i="58"/>
  <c r="X48" i="58"/>
  <c r="BF45" i="58"/>
  <c r="BF46" i="58" s="1"/>
  <c r="X32" i="58"/>
  <c r="Z32" i="58"/>
  <c r="BN45" i="58"/>
  <c r="BN46" i="58" s="1"/>
  <c r="BH45" i="58"/>
  <c r="BH46" i="58" s="1"/>
  <c r="BL43" i="58"/>
  <c r="BI43" i="58"/>
  <c r="BK45" i="58"/>
  <c r="BK46" i="58" s="1"/>
  <c r="BG48" i="58"/>
  <c r="BJ48" i="58"/>
  <c r="BN49" i="58"/>
  <c r="BK47" i="58"/>
  <c r="BH49" i="58"/>
  <c r="BK49" i="58"/>
  <c r="BN47" i="58"/>
  <c r="BH47" i="58"/>
  <c r="BN48" i="58"/>
  <c r="BH48" i="58"/>
  <c r="BK48" i="58"/>
  <c r="AA50" i="58"/>
  <c r="V44" i="58"/>
  <c r="V45" i="58"/>
  <c r="V50" i="58"/>
  <c r="AA62" i="58"/>
  <c r="V62" i="58"/>
  <c r="AB129" i="58"/>
  <c r="AF129" i="58"/>
  <c r="AE129" i="58"/>
  <c r="AA129" i="58"/>
  <c r="AA16" i="71" l="1"/>
  <c r="AN16" i="71" s="1"/>
  <c r="V32" i="58"/>
  <c r="AA32" i="58"/>
  <c r="C44" i="79"/>
  <c r="C18" i="80"/>
  <c r="C45" i="79"/>
  <c r="R18" i="80"/>
  <c r="BI45" i="58"/>
  <c r="BI46" i="58" s="1"/>
  <c r="BL45" i="58"/>
  <c r="BL46" i="58" s="1"/>
  <c r="AA48" i="58"/>
  <c r="U41" i="71"/>
  <c r="V43" i="58"/>
  <c r="BO49" i="58"/>
  <c r="BL49" i="58"/>
  <c r="BI47" i="58"/>
  <c r="V48" i="58"/>
  <c r="BO47" i="58"/>
  <c r="BL47" i="58"/>
  <c r="BI49" i="58"/>
  <c r="BL48" i="58"/>
  <c r="BI48" i="58"/>
  <c r="BO48" i="58"/>
  <c r="AA70" i="58"/>
  <c r="AA69" i="58"/>
  <c r="V70" i="58"/>
  <c r="V69" i="58"/>
  <c r="U30" i="58"/>
  <c r="T30" i="58"/>
  <c r="S30" i="58"/>
  <c r="X30" i="58" l="1"/>
  <c r="Z30" i="58"/>
  <c r="Y30" i="58"/>
  <c r="V30" i="58" l="1"/>
  <c r="S11" i="58" l="1"/>
  <c r="AA54" i="58" l="1"/>
  <c r="AA35" i="58"/>
  <c r="AA39" i="58"/>
  <c r="D45" i="71" l="1"/>
  <c r="V36" i="58"/>
  <c r="AA63" i="58"/>
  <c r="AA59" i="58"/>
  <c r="AA56" i="58"/>
  <c r="AA67" i="58"/>
  <c r="AA60" i="58"/>
  <c r="AA57" i="58"/>
  <c r="AA58" i="58"/>
  <c r="AA51" i="58"/>
  <c r="AA61" i="58"/>
  <c r="AA52" i="58"/>
  <c r="AA53" i="58"/>
  <c r="AA42" i="58"/>
  <c r="AA33" i="58"/>
  <c r="AA37" i="58"/>
  <c r="AA40" i="58"/>
  <c r="AA47" i="58"/>
  <c r="AA46" i="58"/>
  <c r="AA36" i="58"/>
  <c r="V42" i="58"/>
  <c r="V47" i="58"/>
  <c r="V63" i="58"/>
  <c r="V39" i="58"/>
  <c r="V35" i="58"/>
  <c r="V58" i="58"/>
  <c r="V40" i="58"/>
  <c r="V37" i="58"/>
  <c r="V60" i="58"/>
  <c r="V57" i="58"/>
  <c r="V67" i="58"/>
  <c r="V61" i="58"/>
  <c r="V54" i="58"/>
  <c r="V56" i="58"/>
  <c r="V59" i="58"/>
  <c r="V53" i="58"/>
  <c r="V52" i="58"/>
  <c r="V41" i="58"/>
  <c r="V51" i="58"/>
  <c r="V38" i="58"/>
  <c r="V33" i="58"/>
  <c r="D46" i="71" l="1"/>
  <c r="AJ41" i="71"/>
  <c r="G185" i="58"/>
  <c r="F185" i="58"/>
  <c r="E185" i="58"/>
  <c r="N185" i="58"/>
  <c r="M185" i="58"/>
  <c r="L185" i="58"/>
  <c r="C171" i="58"/>
  <c r="G191" i="58"/>
  <c r="F191" i="58"/>
  <c r="E191" i="58"/>
  <c r="N191" i="58"/>
  <c r="M191" i="58"/>
  <c r="L191" i="58"/>
  <c r="AA49" i="58" l="1"/>
  <c r="S18" i="58"/>
  <c r="S13" i="58"/>
  <c r="S14" i="58"/>
  <c r="S15" i="58"/>
  <c r="S12" i="58"/>
  <c r="V49" i="58"/>
  <c r="U25" i="58" s="1"/>
  <c r="E135" i="58" l="1"/>
  <c r="E172" i="58" s="1"/>
  <c r="E143" i="58"/>
  <c r="E132" i="58"/>
  <c r="E140" i="58"/>
  <c r="E133" i="58"/>
  <c r="E170" i="58" s="1"/>
  <c r="E141" i="58"/>
  <c r="E134" i="58"/>
  <c r="E171" i="58" s="1"/>
  <c r="E142" i="58"/>
  <c r="E136" i="58"/>
  <c r="E144" i="58"/>
  <c r="E181" i="58" s="1"/>
  <c r="E137" i="58"/>
  <c r="E145" i="58"/>
  <c r="S145" i="58" s="1"/>
  <c r="E138" i="58"/>
  <c r="E146" i="58"/>
  <c r="S146" i="58" s="1"/>
  <c r="E139" i="58"/>
  <c r="G133" i="58"/>
  <c r="G132" i="58"/>
  <c r="G135" i="58"/>
  <c r="F135" i="58"/>
  <c r="F131" i="58"/>
  <c r="I131" i="58" s="1"/>
  <c r="E131" i="58"/>
  <c r="H131" i="58" s="1"/>
  <c r="G131" i="58"/>
  <c r="J131" i="58" s="1"/>
  <c r="G138" i="58"/>
  <c r="G130" i="58"/>
  <c r="J130" i="58" s="1"/>
  <c r="F130" i="58"/>
  <c r="I130" i="58" s="1"/>
  <c r="E130" i="58"/>
  <c r="H130" i="58" s="1"/>
  <c r="L186" i="58"/>
  <c r="F145" i="58"/>
  <c r="F149" i="58"/>
  <c r="G145" i="58"/>
  <c r="G149" i="58"/>
  <c r="F146" i="58"/>
  <c r="F150" i="58"/>
  <c r="G146" i="58"/>
  <c r="G150" i="58"/>
  <c r="F151" i="58"/>
  <c r="G147" i="58"/>
  <c r="G151" i="58"/>
  <c r="F148" i="58"/>
  <c r="F152" i="58"/>
  <c r="G148" i="58"/>
  <c r="G152" i="58"/>
  <c r="F147" i="58"/>
  <c r="E147" i="58"/>
  <c r="S147" i="58" s="1"/>
  <c r="E151" i="58"/>
  <c r="S151" i="58" s="1"/>
  <c r="E152" i="58"/>
  <c r="S152" i="58" s="1"/>
  <c r="E150" i="58"/>
  <c r="S150" i="58" s="1"/>
  <c r="E149" i="58"/>
  <c r="S149" i="58" s="1"/>
  <c r="E148" i="58"/>
  <c r="S148" i="58" s="1"/>
  <c r="M186" i="58"/>
  <c r="M188" i="58"/>
  <c r="N186" i="58"/>
  <c r="N187" i="58"/>
  <c r="M187" i="58"/>
  <c r="N188" i="58"/>
  <c r="L188" i="58"/>
  <c r="L187" i="58"/>
  <c r="F144" i="58"/>
  <c r="F140" i="58"/>
  <c r="F136" i="58"/>
  <c r="F132" i="58"/>
  <c r="F143" i="58"/>
  <c r="T143" i="58" s="1"/>
  <c r="F138" i="58"/>
  <c r="F133" i="58"/>
  <c r="G140" i="58"/>
  <c r="G143" i="58"/>
  <c r="U143" i="58" s="1"/>
  <c r="G139" i="58"/>
  <c r="F139" i="58"/>
  <c r="F142" i="58"/>
  <c r="F137" i="58"/>
  <c r="G142" i="58"/>
  <c r="G134" i="58"/>
  <c r="F134" i="58"/>
  <c r="F141" i="58"/>
  <c r="G141" i="58"/>
  <c r="G137" i="58"/>
  <c r="G144" i="58"/>
  <c r="G136" i="58"/>
  <c r="N13" i="58"/>
  <c r="C177" i="58"/>
  <c r="C178" i="58"/>
  <c r="C179" i="58"/>
  <c r="C180" i="58"/>
  <c r="C181" i="58"/>
  <c r="C173" i="58"/>
  <c r="C175" i="58"/>
  <c r="C169" i="58"/>
  <c r="H30" i="71" l="1"/>
  <c r="K40" i="79"/>
  <c r="N17" i="79"/>
  <c r="J40" i="79"/>
  <c r="Q40" i="79"/>
  <c r="I40" i="79"/>
  <c r="G29" i="79"/>
  <c r="L17" i="79"/>
  <c r="AC17" i="79" s="1"/>
  <c r="P40" i="79"/>
  <c r="F29" i="79"/>
  <c r="K17" i="79"/>
  <c r="J17" i="79"/>
  <c r="I17" i="79"/>
  <c r="AB17" i="79" s="1"/>
  <c r="O17" i="79"/>
  <c r="AD17" i="79" s="1"/>
  <c r="M17" i="79"/>
  <c r="O40" i="79"/>
  <c r="N40" i="79"/>
  <c r="Q17" i="79"/>
  <c r="M40" i="79"/>
  <c r="P17" i="79"/>
  <c r="L40" i="79"/>
  <c r="G30" i="71"/>
  <c r="S140" i="58"/>
  <c r="E26" i="79" s="1"/>
  <c r="E177" i="58"/>
  <c r="S139" i="58"/>
  <c r="E25" i="79" s="1"/>
  <c r="E176" i="58"/>
  <c r="S141" i="58"/>
  <c r="E27" i="79" s="1"/>
  <c r="E178" i="58"/>
  <c r="S138" i="58"/>
  <c r="E24" i="79" s="1"/>
  <c r="E175" i="58"/>
  <c r="S132" i="58"/>
  <c r="E18" i="79" s="1"/>
  <c r="E169" i="58"/>
  <c r="S142" i="58"/>
  <c r="E28" i="79" s="1"/>
  <c r="E179" i="58"/>
  <c r="S143" i="58"/>
  <c r="E29" i="79" s="1"/>
  <c r="E180" i="58"/>
  <c r="S137" i="58"/>
  <c r="E23" i="79" s="1"/>
  <c r="E174" i="58"/>
  <c r="S136" i="58"/>
  <c r="E22" i="79" s="1"/>
  <c r="E173" i="58"/>
  <c r="P135" i="58"/>
  <c r="S135" i="58"/>
  <c r="E21" i="79" s="1"/>
  <c r="H135" i="58"/>
  <c r="L135" i="58"/>
  <c r="Q135" i="58"/>
  <c r="I135" i="58"/>
  <c r="M135" i="58"/>
  <c r="R135" i="58"/>
  <c r="J135" i="58"/>
  <c r="N135" i="58"/>
  <c r="Q18" i="71"/>
  <c r="N18" i="71"/>
  <c r="K18" i="71"/>
  <c r="L41" i="71"/>
  <c r="P41" i="71"/>
  <c r="P18" i="71"/>
  <c r="O18" i="71"/>
  <c r="O41" i="71"/>
  <c r="K41" i="71"/>
  <c r="L18" i="71"/>
  <c r="M18" i="71"/>
  <c r="R41" i="71"/>
  <c r="N41" i="71"/>
  <c r="J41" i="71"/>
  <c r="J18" i="71"/>
  <c r="Q41" i="71"/>
  <c r="M41" i="71"/>
  <c r="R18" i="71"/>
  <c r="S144" i="58"/>
  <c r="E30" i="79" s="1"/>
  <c r="N131" i="58"/>
  <c r="L131" i="58"/>
  <c r="M131" i="58"/>
  <c r="P143" i="58"/>
  <c r="AD143" i="58" s="1"/>
  <c r="K29" i="79" s="1"/>
  <c r="Q132" i="58"/>
  <c r="P132" i="58"/>
  <c r="P145" i="58"/>
  <c r="S133" i="58"/>
  <c r="E19" i="79" s="1"/>
  <c r="R132" i="58"/>
  <c r="S134" i="58"/>
  <c r="E20" i="79" s="1"/>
  <c r="L130" i="58"/>
  <c r="M130" i="58"/>
  <c r="N130" i="58"/>
  <c r="H132" i="58"/>
  <c r="F156" i="58"/>
  <c r="E156" i="58"/>
  <c r="H144" i="58"/>
  <c r="N140" i="58"/>
  <c r="J132" i="58"/>
  <c r="I132" i="58"/>
  <c r="I138" i="58"/>
  <c r="P146" i="58"/>
  <c r="L146" i="58"/>
  <c r="H146" i="58"/>
  <c r="Q147" i="58"/>
  <c r="M147" i="58"/>
  <c r="I147" i="58"/>
  <c r="J150" i="58"/>
  <c r="R150" i="58"/>
  <c r="N150" i="58"/>
  <c r="P150" i="58"/>
  <c r="L150" i="58"/>
  <c r="H150" i="58"/>
  <c r="R152" i="58"/>
  <c r="N152" i="58"/>
  <c r="J152" i="58"/>
  <c r="R146" i="58"/>
  <c r="N146" i="58"/>
  <c r="J146" i="58"/>
  <c r="P152" i="58"/>
  <c r="L152" i="58"/>
  <c r="H152" i="58"/>
  <c r="N148" i="58"/>
  <c r="J148" i="58"/>
  <c r="R148" i="58"/>
  <c r="Q150" i="58"/>
  <c r="M150" i="58"/>
  <c r="I150" i="58"/>
  <c r="E153" i="58"/>
  <c r="F153" i="58"/>
  <c r="Q152" i="58"/>
  <c r="M152" i="58"/>
  <c r="I152" i="58"/>
  <c r="Q146" i="58"/>
  <c r="M146" i="58"/>
  <c r="I146" i="58"/>
  <c r="H151" i="58"/>
  <c r="P151" i="58"/>
  <c r="L151" i="58"/>
  <c r="I148" i="58"/>
  <c r="Q148" i="58"/>
  <c r="M148" i="58"/>
  <c r="R149" i="58"/>
  <c r="N149" i="58"/>
  <c r="J149" i="58"/>
  <c r="G153" i="58"/>
  <c r="L145" i="58"/>
  <c r="H145" i="58"/>
  <c r="R151" i="58"/>
  <c r="N151" i="58"/>
  <c r="J151" i="58"/>
  <c r="J145" i="58"/>
  <c r="N145" i="58"/>
  <c r="R145" i="58"/>
  <c r="H148" i="58"/>
  <c r="P148" i="58"/>
  <c r="L148" i="58"/>
  <c r="P147" i="58"/>
  <c r="L147" i="58"/>
  <c r="H147" i="58"/>
  <c r="J147" i="58"/>
  <c r="R147" i="58"/>
  <c r="N147" i="58"/>
  <c r="Q149" i="58"/>
  <c r="M149" i="58"/>
  <c r="I149" i="58"/>
  <c r="P149" i="58"/>
  <c r="L149" i="58"/>
  <c r="H149" i="58"/>
  <c r="I151" i="58"/>
  <c r="M151" i="58"/>
  <c r="Q151" i="58"/>
  <c r="I145" i="58"/>
  <c r="M145" i="58"/>
  <c r="Q145" i="58"/>
  <c r="H133" i="58"/>
  <c r="L133" i="58"/>
  <c r="P133" i="58"/>
  <c r="Q134" i="58"/>
  <c r="I134" i="58"/>
  <c r="M134" i="58"/>
  <c r="Q139" i="58"/>
  <c r="I139" i="58"/>
  <c r="M139" i="58"/>
  <c r="M143" i="58"/>
  <c r="AA143" i="58" s="1"/>
  <c r="M29" i="79" s="1"/>
  <c r="Q143" i="58"/>
  <c r="AE143" i="58" s="1"/>
  <c r="N29" i="79" s="1"/>
  <c r="I143" i="58"/>
  <c r="W143" i="58" s="1"/>
  <c r="L29" i="79" s="1"/>
  <c r="L132" i="58"/>
  <c r="L140" i="58"/>
  <c r="P140" i="58"/>
  <c r="H140" i="58"/>
  <c r="I141" i="58"/>
  <c r="M141" i="58"/>
  <c r="Q141" i="58"/>
  <c r="H141" i="58"/>
  <c r="L141" i="58"/>
  <c r="P141" i="58"/>
  <c r="N132" i="58"/>
  <c r="R134" i="58"/>
  <c r="J134" i="58"/>
  <c r="N134" i="58"/>
  <c r="M132" i="58"/>
  <c r="J141" i="58"/>
  <c r="N141" i="58"/>
  <c r="R141" i="58"/>
  <c r="M138" i="58"/>
  <c r="Q138" i="58"/>
  <c r="P134" i="58"/>
  <c r="H134" i="58"/>
  <c r="L134" i="58"/>
  <c r="R136" i="58"/>
  <c r="J136" i="58"/>
  <c r="N136" i="58"/>
  <c r="J138" i="58"/>
  <c r="N138" i="58"/>
  <c r="R138" i="58"/>
  <c r="R139" i="58"/>
  <c r="J139" i="58"/>
  <c r="N139" i="58"/>
  <c r="Q136" i="58"/>
  <c r="I136" i="58"/>
  <c r="M136" i="58"/>
  <c r="L144" i="58"/>
  <c r="P144" i="58"/>
  <c r="P137" i="58"/>
  <c r="H137" i="58"/>
  <c r="L137" i="58"/>
  <c r="P142" i="58"/>
  <c r="H142" i="58"/>
  <c r="L142" i="58"/>
  <c r="R144" i="58"/>
  <c r="J144" i="58"/>
  <c r="N144" i="58"/>
  <c r="R142" i="58"/>
  <c r="J142" i="58"/>
  <c r="N142" i="58"/>
  <c r="N143" i="58"/>
  <c r="AB143" i="58" s="1"/>
  <c r="P29" i="79" s="1"/>
  <c r="J143" i="58"/>
  <c r="X143" i="58" s="1"/>
  <c r="O29" i="79" s="1"/>
  <c r="R143" i="58"/>
  <c r="AF143" i="58" s="1"/>
  <c r="Q29" i="79" s="1"/>
  <c r="M140" i="58"/>
  <c r="Q140" i="58"/>
  <c r="I140" i="58"/>
  <c r="I133" i="58"/>
  <c r="M133" i="58"/>
  <c r="Q133" i="58"/>
  <c r="L138" i="58"/>
  <c r="P138" i="58"/>
  <c r="H138" i="58"/>
  <c r="R133" i="58"/>
  <c r="N133" i="58"/>
  <c r="J133" i="58"/>
  <c r="Q137" i="58"/>
  <c r="M137" i="58"/>
  <c r="I137" i="58"/>
  <c r="G156" i="58"/>
  <c r="R156" i="58" s="1"/>
  <c r="I144" i="58"/>
  <c r="Q144" i="58"/>
  <c r="M144" i="58"/>
  <c r="H136" i="58"/>
  <c r="L136" i="58"/>
  <c r="P136" i="58"/>
  <c r="L139" i="58"/>
  <c r="H139" i="58"/>
  <c r="P139" i="58"/>
  <c r="L143" i="58"/>
  <c r="H143" i="58"/>
  <c r="N137" i="58"/>
  <c r="R137" i="58"/>
  <c r="J137" i="58"/>
  <c r="Q142" i="58"/>
  <c r="I142" i="58"/>
  <c r="M142" i="58"/>
  <c r="J140" i="58"/>
  <c r="R140" i="58"/>
  <c r="F167" i="58"/>
  <c r="G167" i="58"/>
  <c r="H167" i="58"/>
  <c r="I167" i="58"/>
  <c r="J167" i="58"/>
  <c r="L167" i="58"/>
  <c r="M167" i="58"/>
  <c r="N167" i="58"/>
  <c r="P167" i="58"/>
  <c r="Q167" i="58"/>
  <c r="R167" i="58"/>
  <c r="E167" i="58"/>
  <c r="N155" i="58"/>
  <c r="M155" i="58"/>
  <c r="L155" i="58"/>
  <c r="Y28" i="58"/>
  <c r="Z23" i="58"/>
  <c r="Y23" i="58"/>
  <c r="C183" i="58"/>
  <c r="C170" i="58"/>
  <c r="C172" i="58"/>
  <c r="X29" i="79" l="1"/>
  <c r="Z29" i="79"/>
  <c r="Y29" i="79"/>
  <c r="AC29" i="79"/>
  <c r="P156" i="58"/>
  <c r="G161" i="58"/>
  <c r="G159" i="58"/>
  <c r="G160" i="58"/>
  <c r="G162" i="58"/>
  <c r="S156" i="58"/>
  <c r="E31" i="79" s="1"/>
  <c r="Q30" i="71"/>
  <c r="G180" i="58"/>
  <c r="F28" i="71"/>
  <c r="L30" i="71"/>
  <c r="F22" i="71"/>
  <c r="M30" i="71"/>
  <c r="F29" i="71"/>
  <c r="F26" i="71"/>
  <c r="O30" i="71"/>
  <c r="F21" i="71"/>
  <c r="P30" i="71"/>
  <c r="N30" i="71"/>
  <c r="F23" i="71"/>
  <c r="F27" i="71"/>
  <c r="F20" i="71"/>
  <c r="F31" i="71"/>
  <c r="R30" i="71"/>
  <c r="F24" i="71"/>
  <c r="F25" i="71"/>
  <c r="F19" i="71"/>
  <c r="H156" i="58"/>
  <c r="F159" i="58"/>
  <c r="F161" i="58"/>
  <c r="F33" i="79" s="1"/>
  <c r="F30" i="71"/>
  <c r="S153" i="58"/>
  <c r="F180" i="58"/>
  <c r="P180" i="58"/>
  <c r="Q180" i="58"/>
  <c r="R180" i="58"/>
  <c r="V143" i="58"/>
  <c r="Q131" i="58"/>
  <c r="P131" i="58"/>
  <c r="R131" i="58"/>
  <c r="Z143" i="58"/>
  <c r="L192" i="58"/>
  <c r="R130" i="58"/>
  <c r="Q130" i="58"/>
  <c r="P130" i="58"/>
  <c r="L156" i="58"/>
  <c r="E157" i="58"/>
  <c r="H158" i="58" s="1"/>
  <c r="J156" i="58"/>
  <c r="K159" i="58" s="1"/>
  <c r="N156" i="58"/>
  <c r="O159" i="58" s="1"/>
  <c r="Q156" i="58"/>
  <c r="R160" i="58" s="1"/>
  <c r="I156" i="58"/>
  <c r="M156" i="58"/>
  <c r="P155" i="58"/>
  <c r="V128" i="58"/>
  <c r="Q155" i="58"/>
  <c r="T128" i="58"/>
  <c r="F14" i="79" s="1"/>
  <c r="R155" i="58"/>
  <c r="U128" i="58"/>
  <c r="G14" i="79" s="1"/>
  <c r="AD14" i="79" s="1"/>
  <c r="R153" i="58"/>
  <c r="P153" i="58"/>
  <c r="I153" i="58"/>
  <c r="J153" i="58"/>
  <c r="N153" i="58"/>
  <c r="L153" i="58"/>
  <c r="H153" i="58"/>
  <c r="Q153" i="58"/>
  <c r="M153" i="58"/>
  <c r="F155" i="58"/>
  <c r="G155" i="58"/>
  <c r="N194" i="58"/>
  <c r="N192" i="58"/>
  <c r="N193" i="58"/>
  <c r="L193" i="58"/>
  <c r="L194" i="58"/>
  <c r="M194" i="58"/>
  <c r="M192" i="58"/>
  <c r="M193" i="58"/>
  <c r="F157" i="58"/>
  <c r="I158" i="58" s="1"/>
  <c r="G157" i="58"/>
  <c r="J158" i="58" s="1"/>
  <c r="Z28" i="58"/>
  <c r="I155" i="58"/>
  <c r="H155" i="58"/>
  <c r="J155" i="58"/>
  <c r="G33" i="79" l="1"/>
  <c r="H34" i="71"/>
  <c r="J164" i="58"/>
  <c r="AC14" i="79"/>
  <c r="AB14" i="79"/>
  <c r="Z14" i="79"/>
  <c r="Y14" i="79"/>
  <c r="X14" i="79"/>
  <c r="I14" i="79"/>
  <c r="I37" i="79"/>
  <c r="E49" i="79" s="1"/>
  <c r="I29" i="79"/>
  <c r="J29" i="79"/>
  <c r="J159" i="58"/>
  <c r="J160" i="58"/>
  <c r="N160" i="58"/>
  <c r="Q158" i="58"/>
  <c r="S157" i="58"/>
  <c r="N162" i="58"/>
  <c r="I159" i="58"/>
  <c r="R162" i="58"/>
  <c r="J162" i="58"/>
  <c r="J161" i="58"/>
  <c r="O33" i="79" s="1"/>
  <c r="I161" i="58"/>
  <c r="L33" i="79" s="1"/>
  <c r="T135" i="58"/>
  <c r="J200" i="58"/>
  <c r="V132" i="58"/>
  <c r="I18" i="79" s="1"/>
  <c r="J15" i="71"/>
  <c r="J38" i="71"/>
  <c r="F50" i="71" s="1"/>
  <c r="G34" i="71"/>
  <c r="F32" i="71"/>
  <c r="U135" i="58"/>
  <c r="M159" i="58"/>
  <c r="N159" i="58"/>
  <c r="N161" i="58"/>
  <c r="M161" i="58"/>
  <c r="R161" i="58"/>
  <c r="Q161" i="58"/>
  <c r="R159" i="58"/>
  <c r="Q159" i="58"/>
  <c r="I180" i="58"/>
  <c r="J30" i="71"/>
  <c r="J157" i="58"/>
  <c r="M180" i="58"/>
  <c r="K30" i="71"/>
  <c r="L157" i="58"/>
  <c r="H157" i="58"/>
  <c r="I157" i="58"/>
  <c r="V135" i="58"/>
  <c r="R158" i="58"/>
  <c r="L158" i="58"/>
  <c r="P158" i="58"/>
  <c r="M158" i="58"/>
  <c r="N158" i="58"/>
  <c r="N180" i="58"/>
  <c r="J180" i="58"/>
  <c r="H180" i="58"/>
  <c r="E182" i="58"/>
  <c r="L180" i="58"/>
  <c r="V147" i="58"/>
  <c r="V134" i="58"/>
  <c r="I20" i="79" s="1"/>
  <c r="V144" i="58"/>
  <c r="I30" i="79" s="1"/>
  <c r="V150" i="58"/>
  <c r="V148" i="58"/>
  <c r="V142" i="58"/>
  <c r="I28" i="79" s="1"/>
  <c r="V138" i="58"/>
  <c r="I24" i="79" s="1"/>
  <c r="V136" i="58"/>
  <c r="I22" i="79" s="1"/>
  <c r="V133" i="58"/>
  <c r="I19" i="79" s="1"/>
  <c r="V151" i="58"/>
  <c r="V139" i="58"/>
  <c r="I25" i="79" s="1"/>
  <c r="V141" i="58"/>
  <c r="I27" i="79" s="1"/>
  <c r="V149" i="58"/>
  <c r="V152" i="58"/>
  <c r="V131" i="58"/>
  <c r="I42" i="79" s="1"/>
  <c r="V130" i="58"/>
  <c r="I41" i="79" s="1"/>
  <c r="V146" i="58"/>
  <c r="V137" i="58"/>
  <c r="I23" i="79" s="1"/>
  <c r="V140" i="58"/>
  <c r="I26" i="79" s="1"/>
  <c r="V145" i="58"/>
  <c r="U132" i="58"/>
  <c r="G18" i="79" s="1"/>
  <c r="Z18" i="79" s="1"/>
  <c r="U141" i="58"/>
  <c r="G27" i="79" s="1"/>
  <c r="Z27" i="79" s="1"/>
  <c r="T137" i="58"/>
  <c r="F23" i="79" s="1"/>
  <c r="T144" i="58"/>
  <c r="F30" i="79" s="1"/>
  <c r="G15" i="71"/>
  <c r="T138" i="58"/>
  <c r="F24" i="79" s="1"/>
  <c r="T140" i="58"/>
  <c r="F26" i="79" s="1"/>
  <c r="T139" i="58"/>
  <c r="F25" i="79" s="1"/>
  <c r="T141" i="58"/>
  <c r="F27" i="79" s="1"/>
  <c r="T132" i="58"/>
  <c r="F18" i="79" s="1"/>
  <c r="T133" i="58"/>
  <c r="F19" i="79" s="1"/>
  <c r="H15" i="71"/>
  <c r="U138" i="58"/>
  <c r="G24" i="79" s="1"/>
  <c r="Z24" i="79" s="1"/>
  <c r="U133" i="58"/>
  <c r="G19" i="79" s="1"/>
  <c r="Z19" i="79" s="1"/>
  <c r="U140" i="58"/>
  <c r="G26" i="79" s="1"/>
  <c r="Z26" i="79" s="1"/>
  <c r="U144" i="58"/>
  <c r="G30" i="79" s="1"/>
  <c r="Z30" i="79" s="1"/>
  <c r="U137" i="58"/>
  <c r="G23" i="79" s="1"/>
  <c r="Z23" i="79" s="1"/>
  <c r="U139" i="58"/>
  <c r="G25" i="79" s="1"/>
  <c r="Z25" i="79" s="1"/>
  <c r="J202" i="58"/>
  <c r="J201" i="58"/>
  <c r="F188" i="58"/>
  <c r="G187" i="58"/>
  <c r="F187" i="58"/>
  <c r="E188" i="58"/>
  <c r="G188" i="58"/>
  <c r="E187" i="58"/>
  <c r="F186" i="58"/>
  <c r="G186" i="58"/>
  <c r="E186" i="58"/>
  <c r="X128" i="58"/>
  <c r="U148" i="58"/>
  <c r="U136" i="58"/>
  <c r="G22" i="79" s="1"/>
  <c r="Z22" i="79" s="1"/>
  <c r="U134" i="58"/>
  <c r="G20" i="79" s="1"/>
  <c r="Z20" i="79" s="1"/>
  <c r="U149" i="58"/>
  <c r="U150" i="58"/>
  <c r="U145" i="58"/>
  <c r="U152" i="58"/>
  <c r="U147" i="58"/>
  <c r="U146" i="58"/>
  <c r="U142" i="58"/>
  <c r="G28" i="79" s="1"/>
  <c r="Z28" i="79" s="1"/>
  <c r="U151" i="58"/>
  <c r="W128" i="58"/>
  <c r="T134" i="58"/>
  <c r="F20" i="79" s="1"/>
  <c r="T147" i="58"/>
  <c r="T136" i="58"/>
  <c r="F22" i="79" s="1"/>
  <c r="T150" i="58"/>
  <c r="T149" i="58"/>
  <c r="T142" i="58"/>
  <c r="F28" i="79" s="1"/>
  <c r="T152" i="58"/>
  <c r="T146" i="58"/>
  <c r="T151" i="58"/>
  <c r="T145" i="58"/>
  <c r="T148" i="58"/>
  <c r="Z128" i="58"/>
  <c r="R157" i="58"/>
  <c r="N157" i="58"/>
  <c r="P157" i="58"/>
  <c r="Q157" i="58"/>
  <c r="M157" i="58"/>
  <c r="Z135" i="58" l="1"/>
  <c r="L172" i="58" s="1"/>
  <c r="Z131" i="58"/>
  <c r="Z130" i="58"/>
  <c r="Z132" i="58"/>
  <c r="J18" i="79" s="1"/>
  <c r="Z133" i="58"/>
  <c r="J19" i="79" s="1"/>
  <c r="L37" i="79"/>
  <c r="L14" i="79"/>
  <c r="Y22" i="79"/>
  <c r="X22" i="79"/>
  <c r="Y19" i="79"/>
  <c r="X19" i="79"/>
  <c r="Y23" i="79"/>
  <c r="X23" i="79"/>
  <c r="Y18" i="79"/>
  <c r="X18" i="79"/>
  <c r="Y20" i="79"/>
  <c r="X20" i="79"/>
  <c r="Y27" i="79"/>
  <c r="X27" i="79"/>
  <c r="AB29" i="79"/>
  <c r="AD29" i="79"/>
  <c r="Y24" i="79"/>
  <c r="X24" i="79"/>
  <c r="Y30" i="79"/>
  <c r="X30" i="79"/>
  <c r="Y28" i="79"/>
  <c r="X28" i="79"/>
  <c r="Y25" i="79"/>
  <c r="X25" i="79"/>
  <c r="Y26" i="79"/>
  <c r="X26" i="79"/>
  <c r="F21" i="79"/>
  <c r="J21" i="79"/>
  <c r="G21" i="79"/>
  <c r="Z21" i="79" s="1"/>
  <c r="I21" i="79"/>
  <c r="E32" i="79"/>
  <c r="O37" i="79"/>
  <c r="O14" i="79"/>
  <c r="W159" i="58"/>
  <c r="AQ30" i="58" s="1"/>
  <c r="W161" i="58"/>
  <c r="P49" i="71"/>
  <c r="I164" i="58"/>
  <c r="X132" i="58"/>
  <c r="O18" i="79" s="1"/>
  <c r="AD18" i="79" s="1"/>
  <c r="X162" i="58"/>
  <c r="X161" i="58"/>
  <c r="X159" i="58"/>
  <c r="AC37" i="58" s="1"/>
  <c r="X160" i="58"/>
  <c r="AQ43" i="58" s="1"/>
  <c r="F203" i="58"/>
  <c r="F205" i="58" s="1"/>
  <c r="X158" i="58"/>
  <c r="O47" i="79" s="1"/>
  <c r="W158" i="58"/>
  <c r="L47" i="79" s="1"/>
  <c r="F33" i="71"/>
  <c r="T157" i="58"/>
  <c r="T156" i="58"/>
  <c r="V156" i="58"/>
  <c r="V157" i="58"/>
  <c r="U157" i="58"/>
  <c r="U156" i="58"/>
  <c r="H22" i="71"/>
  <c r="G22" i="71"/>
  <c r="F172" i="58"/>
  <c r="G172" i="58"/>
  <c r="H27" i="71"/>
  <c r="G27" i="71"/>
  <c r="J27" i="71"/>
  <c r="J26" i="71"/>
  <c r="J31" i="71"/>
  <c r="G23" i="71"/>
  <c r="H20" i="71"/>
  <c r="G25" i="71"/>
  <c r="J24" i="71"/>
  <c r="J21" i="71"/>
  <c r="M34" i="71"/>
  <c r="J20" i="71"/>
  <c r="G21" i="71"/>
  <c r="G31" i="71"/>
  <c r="J42" i="71"/>
  <c r="J23" i="71"/>
  <c r="J19" i="71"/>
  <c r="P34" i="71"/>
  <c r="G20" i="71"/>
  <c r="G24" i="71"/>
  <c r="J43" i="71"/>
  <c r="J25" i="71"/>
  <c r="H169" i="58"/>
  <c r="W135" i="58"/>
  <c r="M15" i="71"/>
  <c r="M38" i="71"/>
  <c r="H26" i="71"/>
  <c r="G19" i="71"/>
  <c r="H28" i="71"/>
  <c r="J29" i="71"/>
  <c r="H25" i="71"/>
  <c r="H21" i="71"/>
  <c r="G29" i="71"/>
  <c r="H29" i="71"/>
  <c r="H23" i="71"/>
  <c r="H24" i="71"/>
  <c r="G28" i="71"/>
  <c r="H19" i="71"/>
  <c r="X135" i="58"/>
  <c r="P38" i="71"/>
  <c r="P15" i="71"/>
  <c r="H31" i="71"/>
  <c r="G26" i="71"/>
  <c r="J28" i="71"/>
  <c r="M163" i="58"/>
  <c r="R163" i="58"/>
  <c r="Q163" i="58"/>
  <c r="Q164" i="58"/>
  <c r="R164" i="58"/>
  <c r="N164" i="58"/>
  <c r="M164" i="58"/>
  <c r="F204" i="58"/>
  <c r="J163" i="58"/>
  <c r="X163" i="58" s="1"/>
  <c r="N163" i="58"/>
  <c r="I163" i="58"/>
  <c r="W163" i="58" s="1"/>
  <c r="V158" i="58"/>
  <c r="I47" i="79" s="1"/>
  <c r="H172" i="58"/>
  <c r="J22" i="71"/>
  <c r="Z158" i="58"/>
  <c r="J47" i="79" s="1"/>
  <c r="F173" i="58"/>
  <c r="G174" i="58"/>
  <c r="F174" i="58"/>
  <c r="H173" i="58"/>
  <c r="E183" i="58"/>
  <c r="G181" i="58"/>
  <c r="F169" i="58"/>
  <c r="G178" i="58"/>
  <c r="H175" i="58"/>
  <c r="F171" i="58"/>
  <c r="G169" i="58"/>
  <c r="H179" i="58"/>
  <c r="G177" i="58"/>
  <c r="F176" i="58"/>
  <c r="G170" i="58"/>
  <c r="F177" i="58"/>
  <c r="H178" i="58"/>
  <c r="F178" i="58"/>
  <c r="G171" i="58"/>
  <c r="F179" i="58"/>
  <c r="G179" i="58"/>
  <c r="G173" i="58"/>
  <c r="G175" i="58"/>
  <c r="F175" i="58"/>
  <c r="H177" i="58"/>
  <c r="H176" i="58"/>
  <c r="H181" i="58"/>
  <c r="H174" i="58"/>
  <c r="H171" i="58"/>
  <c r="G176" i="58"/>
  <c r="F170" i="58"/>
  <c r="F181" i="58"/>
  <c r="H170" i="58"/>
  <c r="Z136" i="58"/>
  <c r="J22" i="79" s="1"/>
  <c r="Z142" i="58"/>
  <c r="J28" i="79" s="1"/>
  <c r="Z144" i="58"/>
  <c r="J30" i="79" s="1"/>
  <c r="Z151" i="58"/>
  <c r="Z141" i="58"/>
  <c r="J27" i="79" s="1"/>
  <c r="Z150" i="58"/>
  <c r="Z148" i="58"/>
  <c r="Z138" i="58"/>
  <c r="J24" i="79" s="1"/>
  <c r="Z134" i="58"/>
  <c r="J20" i="79" s="1"/>
  <c r="Z140" i="58"/>
  <c r="J26" i="79" s="1"/>
  <c r="Z147" i="58"/>
  <c r="Z139" i="58"/>
  <c r="J25" i="79" s="1"/>
  <c r="Z152" i="58"/>
  <c r="Z149" i="58"/>
  <c r="Z146" i="58"/>
  <c r="Z145" i="58"/>
  <c r="Z137" i="58"/>
  <c r="J23" i="79" s="1"/>
  <c r="X141" i="58"/>
  <c r="O27" i="79" s="1"/>
  <c r="AD27" i="79" s="1"/>
  <c r="X145" i="58"/>
  <c r="X142" i="58"/>
  <c r="O28" i="79" s="1"/>
  <c r="AD28" i="79" s="1"/>
  <c r="X149" i="58"/>
  <c r="X140" i="58"/>
  <c r="O26" i="79" s="1"/>
  <c r="AD26" i="79" s="1"/>
  <c r="X136" i="58"/>
  <c r="O22" i="79" s="1"/>
  <c r="AD22" i="79" s="1"/>
  <c r="X137" i="58"/>
  <c r="O23" i="79" s="1"/>
  <c r="AD23" i="79" s="1"/>
  <c r="X139" i="58"/>
  <c r="O25" i="79" s="1"/>
  <c r="AD25" i="79" s="1"/>
  <c r="X134" i="58"/>
  <c r="O20" i="79" s="1"/>
  <c r="AD20" i="79" s="1"/>
  <c r="X146" i="58"/>
  <c r="X133" i="58"/>
  <c r="O19" i="79" s="1"/>
  <c r="AD19" i="79" s="1"/>
  <c r="X150" i="58"/>
  <c r="X144" i="58"/>
  <c r="O30" i="79" s="1"/>
  <c r="AD30" i="79" s="1"/>
  <c r="X147" i="58"/>
  <c r="X138" i="58"/>
  <c r="O24" i="79" s="1"/>
  <c r="AD24" i="79" s="1"/>
  <c r="X152" i="58"/>
  <c r="X148" i="58"/>
  <c r="X151" i="58"/>
  <c r="W151" i="58"/>
  <c r="W139" i="58"/>
  <c r="L25" i="79" s="1"/>
  <c r="AB25" i="79" s="1"/>
  <c r="W142" i="58"/>
  <c r="L28" i="79" s="1"/>
  <c r="W150" i="58"/>
  <c r="W144" i="58"/>
  <c r="L30" i="79" s="1"/>
  <c r="W149" i="58"/>
  <c r="W138" i="58"/>
  <c r="L24" i="79" s="1"/>
  <c r="W148" i="58"/>
  <c r="W136" i="58"/>
  <c r="L22" i="79" s="1"/>
  <c r="W147" i="58"/>
  <c r="W145" i="58"/>
  <c r="W146" i="58"/>
  <c r="W133" i="58"/>
  <c r="L19" i="79" s="1"/>
  <c r="W134" i="58"/>
  <c r="L20" i="79" s="1"/>
  <c r="W141" i="58"/>
  <c r="L27" i="79" s="1"/>
  <c r="W137" i="58"/>
  <c r="L23" i="79" s="1"/>
  <c r="W152" i="58"/>
  <c r="W140" i="58"/>
  <c r="L26" i="79" s="1"/>
  <c r="W132" i="58"/>
  <c r="L18" i="79" s="1"/>
  <c r="X130" i="58"/>
  <c r="O41" i="79" s="1"/>
  <c r="X131" i="58"/>
  <c r="O42" i="79" s="1"/>
  <c r="W130" i="58"/>
  <c r="L41" i="79" s="1"/>
  <c r="W131" i="58"/>
  <c r="L42" i="79" s="1"/>
  <c r="J42" i="79"/>
  <c r="T153" i="58"/>
  <c r="U153" i="58"/>
  <c r="AH142" i="58"/>
  <c r="AH140" i="58"/>
  <c r="AH145" i="58"/>
  <c r="AH139" i="58"/>
  <c r="AO139" i="58" s="1"/>
  <c r="AH137" i="58"/>
  <c r="AO137" i="58" s="1"/>
  <c r="AH144" i="58"/>
  <c r="AO144" i="58" s="1"/>
  <c r="AH138" i="58"/>
  <c r="AO138" i="58" s="1"/>
  <c r="AH141" i="58"/>
  <c r="E193" i="58"/>
  <c r="E194" i="58"/>
  <c r="AH136" i="58"/>
  <c r="AO136" i="58" s="1"/>
  <c r="E189" i="58"/>
  <c r="E192" i="58"/>
  <c r="AH152" i="58"/>
  <c r="AH151" i="58"/>
  <c r="AH148" i="58"/>
  <c r="AH150" i="58"/>
  <c r="AH135" i="58"/>
  <c r="AO135" i="58" s="1"/>
  <c r="AH132" i="58"/>
  <c r="AH149" i="58"/>
  <c r="AH133" i="58"/>
  <c r="AO133" i="58" s="1"/>
  <c r="AH146" i="58"/>
  <c r="AH147" i="58"/>
  <c r="AB128" i="58"/>
  <c r="AH134" i="58"/>
  <c r="AA128" i="58"/>
  <c r="V153" i="58"/>
  <c r="AD128" i="58"/>
  <c r="G189" i="58"/>
  <c r="E195" i="58"/>
  <c r="F194" i="58"/>
  <c r="F193" i="58"/>
  <c r="G193" i="58"/>
  <c r="G192" i="58"/>
  <c r="F192" i="58"/>
  <c r="G194" i="58"/>
  <c r="K22" i="71" l="1"/>
  <c r="AC18" i="79"/>
  <c r="AD135" i="58"/>
  <c r="P172" i="58" s="1"/>
  <c r="AD131" i="58"/>
  <c r="K42" i="79" s="1"/>
  <c r="AD130" i="58"/>
  <c r="K41" i="79" s="1"/>
  <c r="AA161" i="58"/>
  <c r="AA130" i="58"/>
  <c r="AA131" i="58"/>
  <c r="M42" i="79" s="1"/>
  <c r="AB130" i="58"/>
  <c r="P41" i="79" s="1"/>
  <c r="AB131" i="58"/>
  <c r="J41" i="79"/>
  <c r="K42" i="71"/>
  <c r="AC27" i="79"/>
  <c r="AC19" i="79"/>
  <c r="AA163" i="58"/>
  <c r="AA164" i="58"/>
  <c r="AC30" i="79"/>
  <c r="AC26" i="79"/>
  <c r="AC22" i="79"/>
  <c r="AC24" i="79"/>
  <c r="AC23" i="79"/>
  <c r="AC20" i="79"/>
  <c r="AB30" i="79"/>
  <c r="AB18" i="79"/>
  <c r="AB27" i="79"/>
  <c r="AB23" i="79"/>
  <c r="AB22" i="79"/>
  <c r="AC28" i="79"/>
  <c r="AC25" i="79"/>
  <c r="AB26" i="79"/>
  <c r="AB20" i="79"/>
  <c r="AB19" i="79"/>
  <c r="Y21" i="79"/>
  <c r="X21" i="79"/>
  <c r="AB28" i="79"/>
  <c r="AB24" i="79"/>
  <c r="G31" i="79"/>
  <c r="Z31" i="79" s="1"/>
  <c r="J172" i="58"/>
  <c r="O21" i="79"/>
  <c r="AD21" i="79" s="1"/>
  <c r="G32" i="79"/>
  <c r="Z32" i="79" s="1"/>
  <c r="I45" i="79"/>
  <c r="I32" i="79"/>
  <c r="I31" i="79"/>
  <c r="I44" i="79"/>
  <c r="F31" i="79"/>
  <c r="L21" i="79"/>
  <c r="F32" i="79"/>
  <c r="W164" i="58"/>
  <c r="L48" i="79"/>
  <c r="X164" i="58"/>
  <c r="O48" i="79"/>
  <c r="AA159" i="58"/>
  <c r="AB162" i="58"/>
  <c r="AB163" i="58"/>
  <c r="AB161" i="58"/>
  <c r="AB160" i="58"/>
  <c r="AB159" i="58"/>
  <c r="AB164" i="58"/>
  <c r="X157" i="58"/>
  <c r="X156" i="58"/>
  <c r="Z157" i="58"/>
  <c r="Z156" i="58"/>
  <c r="W157" i="58"/>
  <c r="W156" i="58"/>
  <c r="H32" i="71"/>
  <c r="H33" i="71"/>
  <c r="M22" i="71"/>
  <c r="I172" i="58"/>
  <c r="M20" i="71"/>
  <c r="P42" i="71"/>
  <c r="P23" i="71"/>
  <c r="K21" i="71"/>
  <c r="K29" i="71"/>
  <c r="P24" i="71"/>
  <c r="P48" i="71"/>
  <c r="M19" i="71"/>
  <c r="M29" i="71"/>
  <c r="P31" i="71"/>
  <c r="P27" i="71"/>
  <c r="K20" i="71"/>
  <c r="K23" i="71"/>
  <c r="M31" i="71"/>
  <c r="M48" i="71"/>
  <c r="K25" i="71"/>
  <c r="P43" i="71"/>
  <c r="K31" i="71"/>
  <c r="AA135" i="58"/>
  <c r="K43" i="71"/>
  <c r="M23" i="71"/>
  <c r="P20" i="71"/>
  <c r="P29" i="71"/>
  <c r="K48" i="71"/>
  <c r="M49" i="71"/>
  <c r="J32" i="71"/>
  <c r="P22" i="71"/>
  <c r="K24" i="71"/>
  <c r="M27" i="71"/>
  <c r="M24" i="71"/>
  <c r="K26" i="71"/>
  <c r="M26" i="71"/>
  <c r="M43" i="71"/>
  <c r="M28" i="71"/>
  <c r="M25" i="71"/>
  <c r="P21" i="71"/>
  <c r="P19" i="71"/>
  <c r="K28" i="71"/>
  <c r="J48" i="71"/>
  <c r="P25" i="71"/>
  <c r="G32" i="71"/>
  <c r="M42" i="71"/>
  <c r="M21" i="71"/>
  <c r="P26" i="71"/>
  <c r="P28" i="71"/>
  <c r="K27" i="71"/>
  <c r="K19" i="71"/>
  <c r="G33" i="71"/>
  <c r="F183" i="58"/>
  <c r="AQ147" i="58"/>
  <c r="AQ146" i="58"/>
  <c r="AQ145" i="58"/>
  <c r="AO145" i="58"/>
  <c r="AO150" i="58"/>
  <c r="AQ150" i="58"/>
  <c r="AO149" i="58"/>
  <c r="AQ149" i="58"/>
  <c r="AO148" i="58"/>
  <c r="AQ148" i="58"/>
  <c r="AQ151" i="58"/>
  <c r="AO152" i="58"/>
  <c r="AQ152" i="58"/>
  <c r="H182" i="58"/>
  <c r="H183" i="58"/>
  <c r="J33" i="71"/>
  <c r="I181" i="58"/>
  <c r="J175" i="58"/>
  <c r="J176" i="58"/>
  <c r="J178" i="58"/>
  <c r="L178" i="58"/>
  <c r="I170" i="58"/>
  <c r="I169" i="58"/>
  <c r="L177" i="58"/>
  <c r="G182" i="58"/>
  <c r="I177" i="58"/>
  <c r="I176" i="58"/>
  <c r="J181" i="58"/>
  <c r="J173" i="58"/>
  <c r="L169" i="58"/>
  <c r="L181" i="58"/>
  <c r="J171" i="58"/>
  <c r="J174" i="58"/>
  <c r="G183" i="58"/>
  <c r="I173" i="58"/>
  <c r="J177" i="58"/>
  <c r="L171" i="58"/>
  <c r="L179" i="58"/>
  <c r="J169" i="58"/>
  <c r="I179" i="58"/>
  <c r="L174" i="58"/>
  <c r="I174" i="58"/>
  <c r="J170" i="58"/>
  <c r="L170" i="58"/>
  <c r="L173" i="58"/>
  <c r="I178" i="58"/>
  <c r="L175" i="58"/>
  <c r="I175" i="58"/>
  <c r="J179" i="58"/>
  <c r="F182" i="58"/>
  <c r="I171" i="58"/>
  <c r="L176" i="58"/>
  <c r="AB135" i="58"/>
  <c r="AB136" i="58"/>
  <c r="AD148" i="58"/>
  <c r="AD137" i="58"/>
  <c r="K23" i="79" s="1"/>
  <c r="AD151" i="58"/>
  <c r="AD132" i="58"/>
  <c r="K18" i="79" s="1"/>
  <c r="AD136" i="58"/>
  <c r="K22" i="79" s="1"/>
  <c r="AD144" i="58"/>
  <c r="K30" i="79" s="1"/>
  <c r="AD134" i="58"/>
  <c r="K20" i="79" s="1"/>
  <c r="AD140" i="58"/>
  <c r="K26" i="79" s="1"/>
  <c r="AD147" i="58"/>
  <c r="AD142" i="58"/>
  <c r="K28" i="79" s="1"/>
  <c r="AD149" i="58"/>
  <c r="AD146" i="58"/>
  <c r="AD141" i="58"/>
  <c r="K27" i="79" s="1"/>
  <c r="AD145" i="58"/>
  <c r="AD150" i="58"/>
  <c r="AD133" i="58"/>
  <c r="K19" i="79" s="1"/>
  <c r="AD138" i="58"/>
  <c r="K24" i="79" s="1"/>
  <c r="AD152" i="58"/>
  <c r="AD139" i="58"/>
  <c r="K25" i="79" s="1"/>
  <c r="AB134" i="58"/>
  <c r="P20" i="79" s="1"/>
  <c r="AB149" i="58"/>
  <c r="AB139" i="58"/>
  <c r="P25" i="79" s="1"/>
  <c r="AB132" i="58"/>
  <c r="P18" i="79" s="1"/>
  <c r="AB144" i="58"/>
  <c r="P30" i="79" s="1"/>
  <c r="AB133" i="58"/>
  <c r="P19" i="79" s="1"/>
  <c r="AB145" i="58"/>
  <c r="AB152" i="58"/>
  <c r="AB148" i="58"/>
  <c r="AB138" i="58"/>
  <c r="P24" i="79" s="1"/>
  <c r="AB151" i="58"/>
  <c r="AB141" i="58"/>
  <c r="P27" i="79" s="1"/>
  <c r="AB142" i="58"/>
  <c r="P28" i="79" s="1"/>
  <c r="AB147" i="58"/>
  <c r="AB137" i="58"/>
  <c r="P23" i="79" s="1"/>
  <c r="AB150" i="58"/>
  <c r="AB146" i="58"/>
  <c r="AB140" i="58"/>
  <c r="P26" i="79" s="1"/>
  <c r="J46" i="71"/>
  <c r="J45" i="71"/>
  <c r="AA151" i="58"/>
  <c r="AA149" i="58"/>
  <c r="AA147" i="58"/>
  <c r="AA141" i="58"/>
  <c r="M27" i="79" s="1"/>
  <c r="AA139" i="58"/>
  <c r="M25" i="79" s="1"/>
  <c r="AA137" i="58"/>
  <c r="M23" i="79" s="1"/>
  <c r="AA132" i="58"/>
  <c r="M18" i="79" s="1"/>
  <c r="AA144" i="58"/>
  <c r="M30" i="79" s="1"/>
  <c r="AA136" i="58"/>
  <c r="M22" i="79" s="1"/>
  <c r="AA133" i="58"/>
  <c r="M19" i="79" s="1"/>
  <c r="AA145" i="58"/>
  <c r="AA152" i="58"/>
  <c r="AA150" i="58"/>
  <c r="AA148" i="58"/>
  <c r="AA146" i="58"/>
  <c r="AA140" i="58"/>
  <c r="M26" i="79" s="1"/>
  <c r="AA138" i="58"/>
  <c r="M24" i="79" s="1"/>
  <c r="AA142" i="58"/>
  <c r="M28" i="79" s="1"/>
  <c r="AA134" i="58"/>
  <c r="M20" i="79" s="1"/>
  <c r="P42" i="79"/>
  <c r="M41" i="79"/>
  <c r="AD158" i="58"/>
  <c r="K47" i="79" s="1"/>
  <c r="AA158" i="58"/>
  <c r="M47" i="79" s="1"/>
  <c r="AB158" i="58"/>
  <c r="P47" i="79" s="1"/>
  <c r="X153" i="58"/>
  <c r="AO146" i="58"/>
  <c r="AO141" i="58"/>
  <c r="AO140" i="58"/>
  <c r="AO151" i="58"/>
  <c r="AO142" i="58"/>
  <c r="AO147" i="58"/>
  <c r="AO132" i="58"/>
  <c r="AJ149" i="58"/>
  <c r="AJ132" i="58"/>
  <c r="AJ136" i="58"/>
  <c r="AJ140" i="58"/>
  <c r="AJ150" i="58"/>
  <c r="AJ147" i="58"/>
  <c r="AJ134" i="58"/>
  <c r="AJ137" i="58"/>
  <c r="AJ144" i="58"/>
  <c r="AJ148" i="58"/>
  <c r="W153" i="58"/>
  <c r="AJ152" i="58"/>
  <c r="AJ135" i="58"/>
  <c r="AH153" i="58"/>
  <c r="AR153" i="58" s="1"/>
  <c r="AJ146" i="58"/>
  <c r="AJ151" i="58"/>
  <c r="AJ141" i="58"/>
  <c r="AJ133" i="58"/>
  <c r="AJ145" i="58"/>
  <c r="AJ138" i="58"/>
  <c r="AJ142" i="58"/>
  <c r="AJ139" i="58"/>
  <c r="AF128" i="58"/>
  <c r="AE128" i="58"/>
  <c r="Z153" i="58"/>
  <c r="G195" i="58"/>
  <c r="F189" i="58"/>
  <c r="F195" i="58"/>
  <c r="L22" i="71" l="1"/>
  <c r="K21" i="79"/>
  <c r="AF131" i="58"/>
  <c r="Q42" i="79" s="1"/>
  <c r="AF130" i="58"/>
  <c r="Q41" i="79" s="1"/>
  <c r="AE163" i="58"/>
  <c r="AE131" i="58"/>
  <c r="N42" i="79" s="1"/>
  <c r="AE130" i="58"/>
  <c r="N41" i="79" s="1"/>
  <c r="AC21" i="79"/>
  <c r="Y32" i="79"/>
  <c r="Y31" i="79"/>
  <c r="X31" i="79"/>
  <c r="X32" i="79"/>
  <c r="AB21" i="79"/>
  <c r="P22" i="79"/>
  <c r="P21" i="79"/>
  <c r="M21" i="79"/>
  <c r="O44" i="79"/>
  <c r="O31" i="79"/>
  <c r="AD31" i="79" s="1"/>
  <c r="O32" i="79"/>
  <c r="AD32" i="79" s="1"/>
  <c r="O45" i="79"/>
  <c r="L44" i="79"/>
  <c r="L31" i="79"/>
  <c r="L45" i="79"/>
  <c r="L32" i="79"/>
  <c r="J44" i="79"/>
  <c r="J31" i="79"/>
  <c r="J45" i="79"/>
  <c r="J32" i="79"/>
  <c r="AE159" i="58"/>
  <c r="AE161" i="58"/>
  <c r="AE164" i="58"/>
  <c r="AF161" i="58"/>
  <c r="AF159" i="58"/>
  <c r="AF164" i="58"/>
  <c r="AF163" i="58"/>
  <c r="AF162" i="58"/>
  <c r="AF160" i="58"/>
  <c r="AB157" i="58"/>
  <c r="AB156" i="58"/>
  <c r="AA157" i="58"/>
  <c r="AA156" i="58"/>
  <c r="AD156" i="58"/>
  <c r="AD157" i="58"/>
  <c r="N22" i="71"/>
  <c r="M172" i="58"/>
  <c r="N23" i="71"/>
  <c r="L20" i="71"/>
  <c r="L42" i="71"/>
  <c r="N27" i="71"/>
  <c r="N31" i="71"/>
  <c r="Q28" i="71"/>
  <c r="Q19" i="71"/>
  <c r="L21" i="71"/>
  <c r="L43" i="71"/>
  <c r="Q29" i="71"/>
  <c r="Q31" i="71"/>
  <c r="N42" i="71"/>
  <c r="N19" i="71"/>
  <c r="Q26" i="71"/>
  <c r="L31" i="71"/>
  <c r="N25" i="71"/>
  <c r="L27" i="71"/>
  <c r="N43" i="71"/>
  <c r="N24" i="71"/>
  <c r="Q25" i="71"/>
  <c r="L28" i="71"/>
  <c r="L23" i="71"/>
  <c r="Q27" i="71"/>
  <c r="Q43" i="71"/>
  <c r="N26" i="71"/>
  <c r="Q21" i="71"/>
  <c r="AE135" i="58"/>
  <c r="Q42" i="71"/>
  <c r="L26" i="71"/>
  <c r="N21" i="71"/>
  <c r="L29" i="71"/>
  <c r="Q48" i="71"/>
  <c r="N28" i="71"/>
  <c r="AF135" i="58"/>
  <c r="AF158" i="58"/>
  <c r="N48" i="71"/>
  <c r="Q24" i="71"/>
  <c r="L24" i="71"/>
  <c r="L48" i="71"/>
  <c r="N29" i="71"/>
  <c r="N20" i="71"/>
  <c r="Q20" i="71"/>
  <c r="L25" i="71"/>
  <c r="L19" i="71"/>
  <c r="AR148" i="58"/>
  <c r="AR150" i="58"/>
  <c r="AR146" i="58"/>
  <c r="AP148" i="58"/>
  <c r="AR147" i="58"/>
  <c r="AR151" i="58"/>
  <c r="AR149" i="58"/>
  <c r="AP145" i="58"/>
  <c r="N173" i="58"/>
  <c r="Q23" i="71"/>
  <c r="AR145" i="58"/>
  <c r="N172" i="58"/>
  <c r="Q22" i="71"/>
  <c r="J182" i="58"/>
  <c r="P32" i="71"/>
  <c r="L182" i="58"/>
  <c r="K32" i="71"/>
  <c r="AR152" i="58"/>
  <c r="AP153" i="58"/>
  <c r="I182" i="58"/>
  <c r="M32" i="71"/>
  <c r="L183" i="58"/>
  <c r="K33" i="71"/>
  <c r="J183" i="58"/>
  <c r="P33" i="71"/>
  <c r="I183" i="58"/>
  <c r="M33" i="71"/>
  <c r="M169" i="58"/>
  <c r="N174" i="58"/>
  <c r="P179" i="58"/>
  <c r="P176" i="58"/>
  <c r="M174" i="58"/>
  <c r="N170" i="58"/>
  <c r="P175" i="58"/>
  <c r="P174" i="58"/>
  <c r="M176" i="58"/>
  <c r="N179" i="58"/>
  <c r="N181" i="58"/>
  <c r="P170" i="58"/>
  <c r="P177" i="58"/>
  <c r="M181" i="58"/>
  <c r="M171" i="58"/>
  <c r="M178" i="58"/>
  <c r="N178" i="58"/>
  <c r="N169" i="58"/>
  <c r="P171" i="58"/>
  <c r="P169" i="58"/>
  <c r="M179" i="58"/>
  <c r="N177" i="58"/>
  <c r="N176" i="58"/>
  <c r="P181" i="58"/>
  <c r="M177" i="58"/>
  <c r="M170" i="58"/>
  <c r="N175" i="58"/>
  <c r="P178" i="58"/>
  <c r="M175" i="58"/>
  <c r="M173" i="58"/>
  <c r="N171" i="58"/>
  <c r="P173" i="58"/>
  <c r="AF150" i="58"/>
  <c r="AF146" i="58"/>
  <c r="AF139" i="58"/>
  <c r="Q25" i="79" s="1"/>
  <c r="AF132" i="58"/>
  <c r="Q18" i="79" s="1"/>
  <c r="AF144" i="58"/>
  <c r="Q30" i="79" s="1"/>
  <c r="AF133" i="58"/>
  <c r="Q19" i="79" s="1"/>
  <c r="AF145" i="58"/>
  <c r="AF149" i="58"/>
  <c r="AF138" i="58"/>
  <c r="Q24" i="79" s="1"/>
  <c r="AF142" i="58"/>
  <c r="Q28" i="79" s="1"/>
  <c r="AF152" i="58"/>
  <c r="AF148" i="58"/>
  <c r="AF141" i="58"/>
  <c r="Q27" i="79" s="1"/>
  <c r="AF137" i="58"/>
  <c r="Q23" i="79" s="1"/>
  <c r="AF136" i="58"/>
  <c r="Q22" i="79" s="1"/>
  <c r="AF151" i="58"/>
  <c r="AF147" i="58"/>
  <c r="AF140" i="58"/>
  <c r="Q26" i="79" s="1"/>
  <c r="AF134" i="58"/>
  <c r="Q20" i="79" s="1"/>
  <c r="P45" i="71"/>
  <c r="K45" i="71"/>
  <c r="P46" i="71"/>
  <c r="K46" i="71"/>
  <c r="M45" i="71"/>
  <c r="M46" i="71"/>
  <c r="AE144" i="58"/>
  <c r="N30" i="79" s="1"/>
  <c r="AE136" i="58"/>
  <c r="N22" i="79" s="1"/>
  <c r="AE133" i="58"/>
  <c r="N19" i="79" s="1"/>
  <c r="AE145" i="58"/>
  <c r="AE151" i="58"/>
  <c r="AE149" i="58"/>
  <c r="AE147" i="58"/>
  <c r="AE140" i="58"/>
  <c r="N26" i="79" s="1"/>
  <c r="AE138" i="58"/>
  <c r="N24" i="79" s="1"/>
  <c r="AE142" i="58"/>
  <c r="N28" i="79" s="1"/>
  <c r="AE134" i="58"/>
  <c r="N20" i="79" s="1"/>
  <c r="AE152" i="58"/>
  <c r="AE150" i="58"/>
  <c r="AE148" i="58"/>
  <c r="AE146" i="58"/>
  <c r="AE141" i="58"/>
  <c r="N27" i="79" s="1"/>
  <c r="AE139" i="58"/>
  <c r="N25" i="79" s="1"/>
  <c r="AE137" i="58"/>
  <c r="N23" i="79" s="1"/>
  <c r="AE132" i="58"/>
  <c r="N18" i="79" s="1"/>
  <c r="AK149" i="58"/>
  <c r="AE158" i="58"/>
  <c r="N47" i="79" s="1"/>
  <c r="AP151" i="58"/>
  <c r="AP146" i="58"/>
  <c r="AP140" i="58"/>
  <c r="AK144" i="58"/>
  <c r="AP147" i="58"/>
  <c r="AP142" i="58"/>
  <c r="AP141" i="58"/>
  <c r="AP138" i="58"/>
  <c r="AP152" i="58"/>
  <c r="AP149" i="58"/>
  <c r="AP144" i="58"/>
  <c r="AP137" i="58"/>
  <c r="AP150" i="58"/>
  <c r="AP133" i="58"/>
  <c r="AP136" i="58"/>
  <c r="AP135" i="58"/>
  <c r="AP139" i="58"/>
  <c r="AP132" i="58"/>
  <c r="AJ153" i="58"/>
  <c r="AK151" i="58"/>
  <c r="AK136" i="58"/>
  <c r="AK137" i="58"/>
  <c r="AK141" i="58"/>
  <c r="AK150" i="58"/>
  <c r="AK139" i="58"/>
  <c r="AK148" i="58"/>
  <c r="AK134" i="58"/>
  <c r="AK152" i="58"/>
  <c r="AK145" i="58"/>
  <c r="AA153" i="58"/>
  <c r="AK135" i="58"/>
  <c r="AK133" i="58"/>
  <c r="AK142" i="58"/>
  <c r="AB153" i="58"/>
  <c r="AK132" i="58"/>
  <c r="AK146" i="58"/>
  <c r="AK140" i="58"/>
  <c r="AK138" i="58"/>
  <c r="AK147" i="58"/>
  <c r="AD153" i="58"/>
  <c r="G199" i="58" l="1"/>
  <c r="AC32" i="79"/>
  <c r="AC31" i="79"/>
  <c r="AB32" i="79"/>
  <c r="AB31" i="79"/>
  <c r="M44" i="79"/>
  <c r="M31" i="79"/>
  <c r="M45" i="79"/>
  <c r="M32" i="79"/>
  <c r="P31" i="79"/>
  <c r="P44" i="79"/>
  <c r="P45" i="79"/>
  <c r="P32" i="79"/>
  <c r="Q47" i="79"/>
  <c r="Q21" i="79"/>
  <c r="K32" i="79"/>
  <c r="K45" i="79"/>
  <c r="N21" i="79"/>
  <c r="K31" i="79"/>
  <c r="K44" i="79"/>
  <c r="AE157" i="58"/>
  <c r="AE156" i="58"/>
  <c r="AF157" i="58"/>
  <c r="AF156" i="58"/>
  <c r="R48" i="71"/>
  <c r="O22" i="71"/>
  <c r="R172" i="58"/>
  <c r="R31" i="71"/>
  <c r="O19" i="71"/>
  <c r="O21" i="71"/>
  <c r="O20" i="71"/>
  <c r="R19" i="71"/>
  <c r="Q172" i="58"/>
  <c r="R43" i="71"/>
  <c r="R28" i="71"/>
  <c r="O48" i="71"/>
  <c r="O24" i="71"/>
  <c r="O29" i="71"/>
  <c r="O23" i="71"/>
  <c r="R21" i="71"/>
  <c r="R26" i="71"/>
  <c r="O25" i="71"/>
  <c r="R27" i="71"/>
  <c r="R29" i="71"/>
  <c r="O26" i="71"/>
  <c r="O31" i="71"/>
  <c r="O28" i="71"/>
  <c r="O27" i="71"/>
  <c r="R25" i="71"/>
  <c r="R22" i="71"/>
  <c r="O43" i="71"/>
  <c r="O42" i="71"/>
  <c r="R23" i="71"/>
  <c r="R42" i="71"/>
  <c r="R24" i="71"/>
  <c r="R20" i="71"/>
  <c r="P183" i="58"/>
  <c r="L33" i="71"/>
  <c r="P182" i="58"/>
  <c r="L32" i="71"/>
  <c r="M182" i="58"/>
  <c r="N32" i="71"/>
  <c r="M183" i="58"/>
  <c r="N33" i="71"/>
  <c r="N183" i="58"/>
  <c r="Q33" i="71"/>
  <c r="N182" i="58"/>
  <c r="Q32" i="71"/>
  <c r="F199" i="58"/>
  <c r="I36" i="80" s="1"/>
  <c r="R173" i="58"/>
  <c r="R174" i="58"/>
  <c r="R170" i="58"/>
  <c r="R178" i="58"/>
  <c r="R181" i="58"/>
  <c r="Q169" i="58"/>
  <c r="Q171" i="58"/>
  <c r="R171" i="58"/>
  <c r="R169" i="58"/>
  <c r="Q174" i="58"/>
  <c r="Q179" i="58"/>
  <c r="Q170" i="58"/>
  <c r="R176" i="58"/>
  <c r="Q176" i="58"/>
  <c r="Q173" i="58"/>
  <c r="R177" i="58"/>
  <c r="R179" i="58"/>
  <c r="Q177" i="58"/>
  <c r="Q178" i="58"/>
  <c r="Q175" i="58"/>
  <c r="Q181" i="58"/>
  <c r="R175" i="58"/>
  <c r="N46" i="71"/>
  <c r="Q46" i="71"/>
  <c r="N45" i="71"/>
  <c r="Q45" i="71"/>
  <c r="L46" i="71"/>
  <c r="L45" i="71"/>
  <c r="AL136" i="58"/>
  <c r="AF153" i="58"/>
  <c r="AL140" i="58"/>
  <c r="AL137" i="58"/>
  <c r="AL149" i="58"/>
  <c r="AL134" i="58"/>
  <c r="AL150" i="58"/>
  <c r="AL151" i="58"/>
  <c r="AL142" i="58"/>
  <c r="AL152" i="58"/>
  <c r="AL145" i="58"/>
  <c r="AL148" i="58"/>
  <c r="AL144" i="58"/>
  <c r="AK153" i="58"/>
  <c r="AL146" i="58"/>
  <c r="AL135" i="58"/>
  <c r="AL138" i="58"/>
  <c r="AE153" i="58"/>
  <c r="AL133" i="58"/>
  <c r="AL141" i="58"/>
  <c r="AL139" i="58"/>
  <c r="AL132" i="58"/>
  <c r="AL147" i="58"/>
  <c r="J40" i="82" l="1"/>
  <c r="J40" i="81"/>
  <c r="Q31" i="79"/>
  <c r="Q44" i="79"/>
  <c r="Q45" i="79"/>
  <c r="Q32" i="79"/>
  <c r="N44" i="79"/>
  <c r="N31" i="79"/>
  <c r="N45" i="79"/>
  <c r="N32" i="79"/>
  <c r="U38" i="71"/>
  <c r="AA59" i="71"/>
  <c r="R182" i="58"/>
  <c r="R32" i="71"/>
  <c r="R183" i="58"/>
  <c r="R33" i="71"/>
  <c r="Q182" i="58"/>
  <c r="O32" i="71"/>
  <c r="Q183" i="58"/>
  <c r="O33" i="71"/>
  <c r="R46" i="71"/>
  <c r="R45" i="71"/>
  <c r="O45" i="71"/>
  <c r="O46" i="71"/>
  <c r="AL153" i="58"/>
</calcChain>
</file>

<file path=xl/sharedStrings.xml><?xml version="1.0" encoding="utf-8"?>
<sst xmlns="http://schemas.openxmlformats.org/spreadsheetml/2006/main" count="369" uniqueCount="210">
  <si>
    <t>carburant</t>
  </si>
  <si>
    <t>€/ha</t>
  </si>
  <si>
    <t>Nom</t>
  </si>
  <si>
    <t>semences</t>
  </si>
  <si>
    <t>irrigation : énergie</t>
  </si>
  <si>
    <t>irrigation : redevance</t>
  </si>
  <si>
    <t>Entretien-réparation</t>
  </si>
  <si>
    <t>Travaux par tiers</t>
  </si>
  <si>
    <t>salaires et charges sociales</t>
  </si>
  <si>
    <t>cotisations sociales exploitant</t>
  </si>
  <si>
    <t>frais financiers</t>
  </si>
  <si>
    <t>location</t>
  </si>
  <si>
    <t>Rémunération de la MO familiale</t>
  </si>
  <si>
    <t>Engrais total</t>
  </si>
  <si>
    <t>RECAPITULATIF</t>
  </si>
  <si>
    <t>Semences</t>
  </si>
  <si>
    <t>Carburant</t>
  </si>
  <si>
    <t>Irrigation (redevance+énergie)</t>
  </si>
  <si>
    <t>Séchage</t>
  </si>
  <si>
    <t>€/t rdt moyen</t>
  </si>
  <si>
    <t>€/t rdt min</t>
  </si>
  <si>
    <t>€/t rdt max</t>
  </si>
  <si>
    <t>Quantité  /hectare</t>
  </si>
  <si>
    <t>Unité (unité fertilisant, T, litres, m3, mm…) pour info</t>
  </si>
  <si>
    <t xml:space="preserve">prix € par Unité </t>
  </si>
  <si>
    <t>RESULTATS</t>
  </si>
  <si>
    <t>POSTE</t>
  </si>
  <si>
    <t>Tonne</t>
  </si>
  <si>
    <t>Prix de vente /Tonne</t>
  </si>
  <si>
    <t xml:space="preserve">situation de départ </t>
  </si>
  <si>
    <t>situation future 1</t>
  </si>
  <si>
    <t>situation future 2</t>
  </si>
  <si>
    <t>Seuil de commercialisation €/t</t>
  </si>
  <si>
    <t>Cout de production €/t</t>
  </si>
  <si>
    <t>Ecart par rapport à la situation de départ (avec rendement moyen)</t>
  </si>
  <si>
    <t>Nombre d'actifs familiaux</t>
  </si>
  <si>
    <t>SAU (ha)</t>
  </si>
  <si>
    <t>moyen</t>
  </si>
  <si>
    <t>minimum</t>
  </si>
  <si>
    <t>maximum</t>
  </si>
  <si>
    <t>AUTRES CHARGES pour calculer un cout de production et un seuil de commercialisation</t>
  </si>
  <si>
    <t>PRODUITS (pour calculer une marge)</t>
  </si>
  <si>
    <t>CALCULS</t>
  </si>
  <si>
    <t>CA €/hectare</t>
  </si>
  <si>
    <t>Rendement (t/ha)</t>
  </si>
  <si>
    <t>MECANISATION</t>
  </si>
  <si>
    <t>CHARGES INTRANTS</t>
  </si>
  <si>
    <t>REMUNERATION MAIN D’ŒUVRE FAMILIALE</t>
  </si>
  <si>
    <t>€/T</t>
  </si>
  <si>
    <t>MECANISATION
(1)</t>
  </si>
  <si>
    <t>MAIN D’ŒUVRE
(1)</t>
  </si>
  <si>
    <t>FERMAGE (1)</t>
  </si>
  <si>
    <t>Autres charges (1)</t>
  </si>
  <si>
    <t>MARGE avec aides €/hectare</t>
  </si>
  <si>
    <t>TITRES DES GRAPHES</t>
  </si>
  <si>
    <t>cout de production</t>
  </si>
  <si>
    <t>seuil de commercialisation</t>
  </si>
  <si>
    <t>CHARGES PRISES EN COMPTE</t>
  </si>
  <si>
    <t>Marge</t>
  </si>
  <si>
    <t>MESSAGES D'ERREUR</t>
  </si>
  <si>
    <t>/!\</t>
  </si>
  <si>
    <t xml:space="preserve"> /!\ </t>
  </si>
  <si>
    <t>Quantité ou prix = 0 ou vide</t>
  </si>
  <si>
    <t xml:space="preserve">  /!\  </t>
  </si>
  <si>
    <t>Saisir au moins une situation future</t>
  </si>
  <si>
    <t xml:space="preserve">   /!\   </t>
  </si>
  <si>
    <t>Saisir une situation de départ</t>
  </si>
  <si>
    <t>Saisir -Quantité et prix- OU -€/ha-</t>
  </si>
  <si>
    <t>/1\</t>
  </si>
  <si>
    <t xml:space="preserve"> /2\ </t>
  </si>
  <si>
    <t xml:space="preserve">  /3\  </t>
  </si>
  <si>
    <t xml:space="preserve">   /4\   </t>
  </si>
  <si>
    <t xml:space="preserve">    /!\    </t>
  </si>
  <si>
    <t>Saisir les trois infos : SAU, nb actif familliaux et rémunération</t>
  </si>
  <si>
    <t xml:space="preserve">    /5\    </t>
  </si>
  <si>
    <t>valid saisie :</t>
  </si>
  <si>
    <t>Culture :</t>
  </si>
  <si>
    <t>rdt</t>
  </si>
  <si>
    <t>CHARGES AVEC AUGMENTATION VRAISSEMBLABLE</t>
  </si>
  <si>
    <t>SAISIE</t>
  </si>
  <si>
    <t>urée 46</t>
  </si>
  <si>
    <t>AUTRES CHARGES FIXES (assurances, eau, PTT, électricité hors irrigation, frais de gestion, impôts et taxes…) (1)</t>
  </si>
  <si>
    <t>Total des charges</t>
  </si>
  <si>
    <t>Total des charges - aides</t>
  </si>
  <si>
    <t>POUR ALLER PLUS LOIN</t>
  </si>
  <si>
    <t>Validité de la saisie :
(doit être vert en fin de saisie)</t>
  </si>
  <si>
    <t>Saisir au moins le rendement moyen</t>
  </si>
  <si>
    <t>Semence</t>
  </si>
  <si>
    <t>Autres engrais</t>
  </si>
  <si>
    <t>Irrigation</t>
  </si>
  <si>
    <t>Engrais azotés</t>
  </si>
  <si>
    <t>Attention les résultats ne prennent en compte que les charges que vous avez saisies.</t>
  </si>
  <si>
    <t>dont Azote simple</t>
  </si>
  <si>
    <t>EXEMPLE DE SAISIE</t>
  </si>
  <si>
    <t>Marge (€/ha)
(rdt x prix + aides - charges saisies)</t>
  </si>
  <si>
    <t>Rdt min</t>
  </si>
  <si>
    <t>Rdt max</t>
  </si>
  <si>
    <t>Zone de saisie</t>
  </si>
  <si>
    <t>Zone de saisie facultative</t>
  </si>
  <si>
    <t>Rendement (T/ha)</t>
  </si>
  <si>
    <t>Prix de vente (€/T)</t>
  </si>
  <si>
    <t>Pour vous situer, estimez rapidement les variations de vos charges en fonction de l'évolution du prix des intrants, de l'énergie…</t>
  </si>
  <si>
    <t>Produits phytosanitaires</t>
  </si>
  <si>
    <t>Taux de variation des charges :</t>
  </si>
  <si>
    <t>Taux de variation de la marge :</t>
  </si>
  <si>
    <t>STOCKAGE (énergie)</t>
  </si>
  <si>
    <t>SECHAGE (maïs, sorgho, tournesol…)</t>
  </si>
  <si>
    <t>Autres intrants</t>
  </si>
  <si>
    <t>amortissement ou rembt capital (yc irrig. et sto.)</t>
  </si>
  <si>
    <t>AUTRES CHARGES (1)</t>
  </si>
  <si>
    <t>Stockage (énergie)</t>
  </si>
  <si>
    <t>VALIDATION DES DONNEES HA</t>
  </si>
  <si>
    <t>VALIDATION DES DONNEES Rdt moy</t>
  </si>
  <si>
    <t>VALIDATION DES DONNEES Rdt min</t>
  </si>
  <si>
    <t>VALIDATION DES DONNEES Rdt max</t>
  </si>
  <si>
    <t>charges prises en compte (ha)</t>
  </si>
  <si>
    <t>/0\</t>
  </si>
  <si>
    <t>Nomer le scénario de départ</t>
  </si>
  <si>
    <t>/0'\</t>
  </si>
  <si>
    <t>/0''\</t>
  </si>
  <si>
    <t>Nomer la situation 1</t>
  </si>
  <si>
    <t>Nomer la situation 2</t>
  </si>
  <si>
    <t>RENDEMENT</t>
  </si>
  <si>
    <t>charges prises en compte (moy)</t>
  </si>
  <si>
    <t>charges prises en compte (min)</t>
  </si>
  <si>
    <t>charges prises en compte (max)</t>
  </si>
  <si>
    <t>CP</t>
  </si>
  <si>
    <t>Seuil C</t>
  </si>
  <si>
    <t>PV</t>
  </si>
  <si>
    <t>semence</t>
  </si>
  <si>
    <t>engrais</t>
  </si>
  <si>
    <t>phyto</t>
  </si>
  <si>
    <t>irrig (énergie + redevence)</t>
  </si>
  <si>
    <t>autres intrants</t>
  </si>
  <si>
    <t>séchage</t>
  </si>
  <si>
    <t>stockage (énergie)</t>
  </si>
  <si>
    <t>entretien/réparation</t>
  </si>
  <si>
    <t>travaux par tiers</t>
  </si>
  <si>
    <t>fermage</t>
  </si>
  <si>
    <t>ACF</t>
  </si>
  <si>
    <t>autres charges</t>
  </si>
  <si>
    <t>LEGENDES MODIF</t>
  </si>
  <si>
    <t>LEGENDES NE PAS MODIF</t>
  </si>
  <si>
    <t>ordre</t>
  </si>
  <si>
    <t>loc.</t>
  </si>
  <si>
    <t>amort/rembt cap. (yc irrig. et sto.)</t>
  </si>
  <si>
    <t>f. fin.</t>
  </si>
  <si>
    <t>salaire et ch. soc.</t>
  </si>
  <si>
    <t>méca (</t>
  </si>
  <si>
    <t>rém. MO fam</t>
  </si>
  <si>
    <t xml:space="preserve">   </t>
  </si>
  <si>
    <t>Aides PAC (€/T)</t>
  </si>
  <si>
    <t>PAC</t>
  </si>
  <si>
    <t>cotis. soc. exploitant</t>
  </si>
  <si>
    <t>Rdt moyen</t>
  </si>
  <si>
    <t>Charges prises en compte :</t>
  </si>
  <si>
    <t xml:space="preserve"> *</t>
  </si>
  <si>
    <t>SC</t>
  </si>
  <si>
    <t>MN</t>
  </si>
  <si>
    <t>AUTRES CHARGES</t>
  </si>
  <si>
    <t>% variation</t>
  </si>
  <si>
    <t>variation marge</t>
  </si>
  <si>
    <t>Rdt moy</t>
  </si>
  <si>
    <t>CHARGES €/HA</t>
  </si>
  <si>
    <t>COUT €/TONNE</t>
  </si>
  <si>
    <t>Aides PAC /ha</t>
  </si>
  <si>
    <t>BULLE 1</t>
  </si>
  <si>
    <t>BULLE 2</t>
  </si>
  <si>
    <t>BULLE 3</t>
  </si>
  <si>
    <t>% variation (Sc1-Sc2)</t>
  </si>
  <si>
    <t>variation charges (Sc1-sc2)</t>
  </si>
  <si>
    <t>% variation (D-Sc1 D-sc2)</t>
  </si>
  <si>
    <t>variation charges (D-Sc1 D-sc2)</t>
  </si>
  <si>
    <t>x</t>
  </si>
  <si>
    <t>phyto 1</t>
  </si>
  <si>
    <t>phyto 2</t>
  </si>
  <si>
    <t>phyto 3</t>
  </si>
  <si>
    <t>phyto 4</t>
  </si>
  <si>
    <t>azote simple 1</t>
  </si>
  <si>
    <t>azote simple 2</t>
  </si>
  <si>
    <t>azote simple 3</t>
  </si>
  <si>
    <t>azote simple 4</t>
  </si>
  <si>
    <t>autre engrais 1</t>
  </si>
  <si>
    <t>autre engrais 2</t>
  </si>
  <si>
    <t>autre engrais 3</t>
  </si>
  <si>
    <t>autre engrais 4</t>
  </si>
  <si>
    <t>autre engrais 5</t>
  </si>
  <si>
    <t>ECART CHARGES €/HA</t>
  </si>
  <si>
    <t>irrigation (énergie + redevence)</t>
  </si>
  <si>
    <t>rémunération main d’œuvre familiale</t>
  </si>
  <si>
    <t>amortissement/remboursement du capital (yc irrigation et stockage)</t>
  </si>
  <si>
    <t>frais financier</t>
  </si>
  <si>
    <t>salaire et charges sociales</t>
  </si>
  <si>
    <t>autres charges fixes</t>
  </si>
  <si>
    <t>mécanisation (</t>
  </si>
  <si>
    <r>
      <rPr>
        <b/>
        <sz val="11"/>
        <color rgb="FFFF0000"/>
        <rFont val="Calibri"/>
        <family val="2"/>
        <scheme val="minor"/>
      </rPr>
      <t>OU</t>
    </r>
    <r>
      <rPr>
        <b/>
        <sz val="11"/>
        <color theme="1"/>
        <rFont val="Calibri"/>
        <family val="2"/>
        <scheme val="minor"/>
      </rPr>
      <t xml:space="preserve">
saisie en €/hectare</t>
    </r>
  </si>
  <si>
    <t>Récapitulatif des charges saisies</t>
  </si>
  <si>
    <t>rendement (T/ha)</t>
  </si>
  <si>
    <t>rendement moyen (T/ha)</t>
  </si>
  <si>
    <t>ImpactCoutProduction</t>
  </si>
  <si>
    <t>Aide à la PRISE EN MAIN de ImpacCoutProduction</t>
  </si>
  <si>
    <t>amortissement ou rembourst capital (yc irrigation-stockage)</t>
  </si>
  <si>
    <t>ECART COUT €/TONNE (rendement moyen)</t>
  </si>
  <si>
    <t>rendement (T/ha) (rdt)</t>
  </si>
  <si>
    <t>€/Tonne</t>
  </si>
  <si>
    <t>hectares</t>
  </si>
  <si>
    <t>Rémunération nette mensuelle souhaitée (€/mois/actif)</t>
  </si>
  <si>
    <t>€/mois/actif</t>
  </si>
  <si>
    <t>nb tps plein</t>
  </si>
  <si>
    <t>Version 220512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</si>
</sst>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1"/>
      <color theme="1"/>
      <name val="Calibri"/>
      <family val="2"/>
      <scheme val="minor"/>
    </font>
    <font>
      <b/>
      <sz val="11"/>
      <color theme="1"/>
      <name val="Calibri"/>
      <family val="2"/>
      <scheme val="minor"/>
    </font>
    <font>
      <sz val="11"/>
      <name val="Calibri"/>
      <family val="2"/>
      <scheme val="minor"/>
    </font>
    <font>
      <sz val="11"/>
      <color theme="1"/>
      <name val="Calibri"/>
      <family val="2"/>
      <scheme val="minor"/>
    </font>
    <font>
      <sz val="11"/>
      <color rgb="FFFF0000"/>
      <name val="Calibri"/>
      <family val="2"/>
      <scheme val="minor"/>
    </font>
    <font>
      <b/>
      <sz val="11"/>
      <name val="Calibri"/>
      <family val="2"/>
      <scheme val="minor"/>
    </font>
    <font>
      <b/>
      <sz val="11"/>
      <color rgb="FFFF0000"/>
      <name val="Calibri"/>
      <family val="2"/>
      <scheme val="minor"/>
    </font>
    <font>
      <i/>
      <sz val="11"/>
      <color theme="1"/>
      <name val="Calibri"/>
      <family val="2"/>
      <scheme val="minor"/>
    </font>
    <font>
      <b/>
      <sz val="14"/>
      <color theme="1"/>
      <name val="Calibri"/>
      <family val="2"/>
      <scheme val="minor"/>
    </font>
    <font>
      <b/>
      <sz val="12"/>
      <color theme="1"/>
      <name val="Calibri"/>
      <family val="2"/>
      <scheme val="minor"/>
    </font>
    <font>
      <b/>
      <sz val="26"/>
      <color theme="1"/>
      <name val="Calibri"/>
      <family val="2"/>
      <scheme val="minor"/>
    </font>
    <font>
      <b/>
      <sz val="16"/>
      <color theme="0" tint="-4.9989318521683403E-2"/>
      <name val="Calibri"/>
      <family val="2"/>
      <scheme val="minor"/>
    </font>
    <font>
      <b/>
      <sz val="18"/>
      <color theme="1"/>
      <name val="Calibri"/>
      <family val="2"/>
      <scheme val="minor"/>
    </font>
    <font>
      <b/>
      <sz val="36"/>
      <color theme="1"/>
      <name val="Calibri"/>
      <family val="2"/>
      <scheme val="minor"/>
    </font>
    <font>
      <b/>
      <i/>
      <sz val="11"/>
      <color theme="1"/>
      <name val="Calibri"/>
      <family val="2"/>
      <scheme val="minor"/>
    </font>
    <font>
      <sz val="11"/>
      <color theme="0"/>
      <name val="Calibri"/>
      <family val="2"/>
      <scheme val="minor"/>
    </font>
    <font>
      <sz val="12"/>
      <color theme="1"/>
      <name val="Calibri"/>
      <family val="2"/>
      <scheme val="minor"/>
    </font>
    <font>
      <b/>
      <sz val="26"/>
      <name val="Calibri"/>
      <family val="2"/>
      <scheme val="minor"/>
    </font>
    <font>
      <b/>
      <sz val="36"/>
      <name val="Calibri"/>
      <family val="2"/>
      <scheme val="minor"/>
    </font>
    <font>
      <b/>
      <sz val="22"/>
      <color theme="1"/>
      <name val="Calibri"/>
      <family val="2"/>
      <scheme val="minor"/>
    </font>
    <font>
      <sz val="11"/>
      <color rgb="FF000000"/>
      <name val="Calibri"/>
      <family val="2"/>
      <scheme val="minor"/>
    </font>
    <font>
      <b/>
      <i/>
      <sz val="24"/>
      <color theme="1"/>
      <name val="Calibri"/>
      <family val="2"/>
      <scheme val="minor"/>
    </font>
    <font>
      <b/>
      <sz val="23"/>
      <color theme="0"/>
      <name val="Calibri"/>
      <family val="2"/>
      <scheme val="minor"/>
    </font>
    <font>
      <b/>
      <sz val="16"/>
      <color theme="1"/>
      <name val="Calibri"/>
      <family val="2"/>
      <scheme val="minor"/>
    </font>
    <font>
      <sz val="11"/>
      <color theme="3" tint="0.39997558519241921"/>
      <name val="Calibri"/>
      <family val="2"/>
      <scheme val="minor"/>
    </font>
    <font>
      <sz val="8"/>
      <name val="Calibri"/>
      <family val="2"/>
      <scheme val="minor"/>
    </font>
    <font>
      <sz val="11"/>
      <color theme="4"/>
      <name val="Calibri"/>
      <family val="2"/>
      <scheme val="minor"/>
    </font>
    <font>
      <sz val="12"/>
      <color rgb="FFFF0000"/>
      <name val="Calibri"/>
      <family val="2"/>
      <scheme val="minor"/>
    </font>
    <font>
      <b/>
      <sz val="18"/>
      <color rgb="FFFF0000"/>
      <name val="Calibri"/>
      <family val="2"/>
      <scheme val="minor"/>
    </font>
    <font>
      <b/>
      <sz val="14"/>
      <color theme="0" tint="-0.249977111117893"/>
      <name val="Calibri"/>
      <family val="2"/>
      <scheme val="minor"/>
    </font>
    <font>
      <sz val="18"/>
      <color theme="1"/>
      <name val="Calibri"/>
      <family val="2"/>
      <scheme val="minor"/>
    </font>
  </fonts>
  <fills count="13">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rgb="FF99CCFF"/>
        <bgColor indexed="64"/>
      </patternFill>
    </fill>
    <fill>
      <patternFill patternType="solid">
        <fgColor theme="1"/>
        <bgColor indexed="64"/>
      </patternFill>
    </fill>
    <fill>
      <patternFill patternType="solid">
        <fgColor theme="9"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6"/>
        <bgColor indexed="64"/>
      </patternFill>
    </fill>
    <fill>
      <patternFill patternType="solid">
        <fgColor rgb="FFCCFF66"/>
        <bgColor indexed="64"/>
      </patternFill>
    </fill>
    <fill>
      <patternFill patternType="solid">
        <fgColor rgb="FFF5FFE1"/>
        <bgColor indexed="64"/>
      </patternFill>
    </fill>
  </fills>
  <borders count="183">
    <border>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style="thin">
        <color theme="0" tint="-0.14996795556505021"/>
      </bottom>
      <diagonal/>
    </border>
    <border>
      <left style="medium">
        <color indexed="64"/>
      </left>
      <right/>
      <top style="medium">
        <color indexed="64"/>
      </top>
      <bottom style="thin">
        <color theme="0" tint="-0.14996795556505021"/>
      </bottom>
      <diagonal/>
    </border>
    <border>
      <left/>
      <right style="medium">
        <color indexed="64"/>
      </right>
      <top style="medium">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right style="medium">
        <color indexed="64"/>
      </right>
      <top style="thin">
        <color indexed="64"/>
      </top>
      <bottom style="thin">
        <color theme="0" tint="-0.14996795556505021"/>
      </bottom>
      <diagonal/>
    </border>
    <border>
      <left style="medium">
        <color indexed="64"/>
      </left>
      <right/>
      <top style="thin">
        <color indexed="64"/>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thin">
        <color theme="0" tint="-0.14996795556505021"/>
      </left>
      <right style="medium">
        <color indexed="64"/>
      </right>
      <top/>
      <bottom style="thin">
        <color indexed="64"/>
      </bottom>
      <diagonal/>
    </border>
    <border>
      <left style="thin">
        <color theme="0" tint="-0.14996795556505021"/>
      </left>
      <right style="medium">
        <color indexed="64"/>
      </right>
      <top/>
      <bottom/>
      <diagonal/>
    </border>
    <border>
      <left style="thin">
        <color theme="0" tint="-0.14996795556505021"/>
      </left>
      <right style="medium">
        <color indexed="64"/>
      </right>
      <top/>
      <bottom style="medium">
        <color indexed="64"/>
      </bottom>
      <diagonal/>
    </border>
    <border>
      <left style="thin">
        <color theme="0" tint="-0.14996795556505021"/>
      </left>
      <right style="thin">
        <color theme="0" tint="-0.14996795556505021"/>
      </right>
      <top style="medium">
        <color indexed="64"/>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indexed="64"/>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medium">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medium">
        <color indexed="64"/>
      </top>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medium">
        <color indexed="64"/>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theme="0" tint="-0.14996795556505021"/>
      </left>
      <right style="thin">
        <color indexed="64"/>
      </right>
      <top/>
      <bottom style="thin">
        <color indexed="64"/>
      </bottom>
      <diagonal/>
    </border>
    <border>
      <left style="thin">
        <color theme="0" tint="-0.14996795556505021"/>
      </left>
      <right style="thin">
        <color indexed="64"/>
      </right>
      <top/>
      <bottom/>
      <diagonal/>
    </border>
    <border>
      <left style="thin">
        <color theme="0" tint="-0.14996795556505021"/>
      </left>
      <right style="thin">
        <color indexed="64"/>
      </right>
      <top/>
      <bottom style="medium">
        <color indexed="64"/>
      </bottom>
      <diagonal/>
    </border>
    <border>
      <left style="thin">
        <color theme="0" tint="-0.14996795556505021"/>
      </left>
      <right style="thin">
        <color indexed="64"/>
      </right>
      <top style="medium">
        <color indexed="64"/>
      </top>
      <bottom/>
      <diagonal/>
    </border>
    <border>
      <left style="thin">
        <color theme="0" tint="-0.14996795556505021"/>
      </left>
      <right style="thin">
        <color indexed="64"/>
      </right>
      <top style="thin">
        <color indexed="64"/>
      </top>
      <bottom style="thin">
        <color theme="0" tint="-0.14996795556505021"/>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medium">
        <color indexed="64"/>
      </left>
      <right/>
      <top style="medium">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indexed="64"/>
      </top>
      <bottom style="thin">
        <color theme="0" tint="-0.24994659260841701"/>
      </bottom>
      <diagonal/>
    </border>
    <border>
      <left/>
      <right style="medium">
        <color indexed="64"/>
      </right>
      <top style="thin">
        <color theme="0" tint="-0.24994659260841701"/>
      </top>
      <bottom style="thin">
        <color theme="0" tint="-0.24994659260841701"/>
      </bottom>
      <diagonal/>
    </border>
    <border>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theme="0" tint="-0.24994659260841701"/>
      </right>
      <top/>
      <bottom style="medium">
        <color indexed="64"/>
      </bottom>
      <diagonal/>
    </border>
    <border>
      <left style="medium">
        <color indexed="64"/>
      </left>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medium">
        <color indexed="64"/>
      </right>
      <top/>
      <bottom style="thin">
        <color theme="0" tint="-0.14996795556505021"/>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theme="0" tint="-0.24994659260841701"/>
      </right>
      <top style="medium">
        <color indexed="64"/>
      </top>
      <bottom/>
      <diagonal/>
    </border>
    <border>
      <left style="thin">
        <color theme="0" tint="-0.24994659260841701"/>
      </left>
      <right style="thin">
        <color indexed="64"/>
      </right>
      <top style="medium">
        <color indexed="64"/>
      </top>
      <bottom/>
      <diagonal/>
    </border>
    <border>
      <left style="medium">
        <color indexed="64"/>
      </left>
      <right style="thin">
        <color theme="0" tint="-0.24994659260841701"/>
      </right>
      <top/>
      <bottom/>
      <diagonal/>
    </border>
    <border>
      <left style="thin">
        <color theme="0" tint="-0.24994659260841701"/>
      </left>
      <right style="thin">
        <color indexed="64"/>
      </right>
      <top/>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top style="medium">
        <color indexed="64"/>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medium">
        <color indexed="64"/>
      </right>
      <top/>
      <bottom style="thin">
        <color theme="0" tint="-0.14996795556505021"/>
      </bottom>
      <diagonal/>
    </border>
    <border>
      <left style="thin">
        <color indexed="64"/>
      </left>
      <right style="thin">
        <color indexed="64"/>
      </right>
      <top/>
      <bottom style="hair">
        <color indexed="64"/>
      </bottom>
      <diagonal/>
    </border>
    <border>
      <left style="medium">
        <color indexed="64"/>
      </left>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theme="0" tint="-0.14996795556505021"/>
      </bottom>
      <diagonal/>
    </border>
    <border>
      <left style="thin">
        <color theme="0" tint="-0.14996795556505021"/>
      </left>
      <right style="thin">
        <color theme="0" tint="-0.14996795556505021"/>
      </right>
      <top style="hair">
        <color indexed="64"/>
      </top>
      <bottom style="thin">
        <color theme="0" tint="-0.14996795556505021"/>
      </bottom>
      <diagonal/>
    </border>
    <border>
      <left style="thin">
        <color theme="0" tint="-0.14996795556505021"/>
      </left>
      <right style="medium">
        <color indexed="64"/>
      </right>
      <top style="hair">
        <color indexed="64"/>
      </top>
      <bottom style="thin">
        <color theme="0" tint="-0.14996795556505021"/>
      </bottom>
      <diagonal/>
    </border>
    <border>
      <left style="medium">
        <color indexed="64"/>
      </left>
      <right/>
      <top style="hair">
        <color indexed="64"/>
      </top>
      <bottom style="thin">
        <color theme="0" tint="-0.14996795556505021"/>
      </bottom>
      <diagonal/>
    </border>
    <border>
      <left style="thin">
        <color theme="0" tint="-0.14996795556505021"/>
      </left>
      <right style="thin">
        <color indexed="64"/>
      </right>
      <top style="hair">
        <color indexed="64"/>
      </top>
      <bottom style="thin">
        <color theme="0" tint="-0.14996795556505021"/>
      </bottom>
      <diagonal/>
    </border>
    <border>
      <left/>
      <right style="medium">
        <color indexed="64"/>
      </right>
      <top style="hair">
        <color indexed="64"/>
      </top>
      <bottom style="thin">
        <color theme="0" tint="-0.14996795556505021"/>
      </bottom>
      <diagonal/>
    </border>
    <border>
      <left style="thin">
        <color indexed="64"/>
      </left>
      <right/>
      <top style="thin">
        <color theme="0" tint="-0.14996795556505021"/>
      </top>
      <bottom style="hair">
        <color indexed="64"/>
      </bottom>
      <diagonal/>
    </border>
    <border>
      <left style="thin">
        <color theme="0" tint="-0.14996795556505021"/>
      </left>
      <right style="thin">
        <color theme="0" tint="-0.14996795556505021"/>
      </right>
      <top style="thin">
        <color theme="0" tint="-0.14996795556505021"/>
      </top>
      <bottom style="hair">
        <color indexed="64"/>
      </bottom>
      <diagonal/>
    </border>
    <border>
      <left style="thin">
        <color theme="0" tint="-0.14996795556505021"/>
      </left>
      <right style="medium">
        <color indexed="64"/>
      </right>
      <top style="thin">
        <color theme="0" tint="-0.14996795556505021"/>
      </top>
      <bottom style="hair">
        <color indexed="64"/>
      </bottom>
      <diagonal/>
    </border>
    <border>
      <left style="medium">
        <color indexed="64"/>
      </left>
      <right/>
      <top style="thin">
        <color theme="0" tint="-0.14996795556505021"/>
      </top>
      <bottom style="hair">
        <color indexed="64"/>
      </bottom>
      <diagonal/>
    </border>
    <border>
      <left style="thin">
        <color theme="0" tint="-0.14996795556505021"/>
      </left>
      <right style="thin">
        <color indexed="64"/>
      </right>
      <top style="thin">
        <color theme="0" tint="-0.14996795556505021"/>
      </top>
      <bottom style="hair">
        <color indexed="64"/>
      </bottom>
      <diagonal/>
    </border>
    <border>
      <left/>
      <right style="medium">
        <color indexed="64"/>
      </right>
      <top style="thin">
        <color theme="0" tint="-0.14996795556505021"/>
      </top>
      <bottom style="hair">
        <color indexed="64"/>
      </bottom>
      <diagonal/>
    </border>
    <border>
      <left/>
      <right/>
      <top/>
      <bottom style="thin">
        <color theme="0" tint="-0.14996795556505021"/>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theme="0" tint="-0.14996795556505021"/>
      </right>
      <top style="medium">
        <color indexed="64"/>
      </top>
      <bottom style="thin">
        <color indexed="64"/>
      </bottom>
      <diagonal/>
    </border>
    <border>
      <left style="thin">
        <color theme="0" tint="-0.14996795556505021"/>
      </left>
      <right style="medium">
        <color indexed="64"/>
      </right>
      <top style="medium">
        <color indexed="64"/>
      </top>
      <bottom style="thin">
        <color indexed="64"/>
      </bottom>
      <diagonal/>
    </border>
    <border>
      <left style="thin">
        <color theme="0" tint="-0.14996795556505021"/>
      </left>
      <right style="thin">
        <color indexed="64"/>
      </right>
      <top style="medium">
        <color indexed="64"/>
      </top>
      <bottom style="thin">
        <color indexed="64"/>
      </bottom>
      <diagonal/>
    </border>
    <border>
      <left style="thin">
        <color indexed="64"/>
      </left>
      <right/>
      <top style="thin">
        <color indexed="64"/>
      </top>
      <bottom style="hair">
        <color indexed="64"/>
      </bottom>
      <diagonal/>
    </border>
    <border>
      <left style="thin">
        <color theme="0" tint="-0.14996795556505021"/>
      </left>
      <right style="thin">
        <color theme="0" tint="-0.14996795556505021"/>
      </right>
      <top style="thin">
        <color indexed="64"/>
      </top>
      <bottom style="hair">
        <color indexed="64"/>
      </bottom>
      <diagonal/>
    </border>
    <border>
      <left style="thin">
        <color theme="0" tint="-0.14996795556505021"/>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theme="0" tint="-0.14996795556505021"/>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medium">
        <color indexed="64"/>
      </right>
      <top/>
      <bottom style="thin">
        <color theme="0" tint="-0.24994659260841701"/>
      </bottom>
      <diagonal/>
    </border>
    <border>
      <left style="medium">
        <color auto="1"/>
      </left>
      <right style="thin">
        <color auto="1"/>
      </right>
      <top style="medium">
        <color auto="1"/>
      </top>
      <bottom style="thin">
        <color auto="1"/>
      </bottom>
      <diagonal/>
    </border>
    <border>
      <left/>
      <right/>
      <top style="medium">
        <color indexed="64"/>
      </top>
      <bottom style="thin">
        <color indexed="64"/>
      </bottom>
      <diagonal/>
    </border>
    <border>
      <left style="thin">
        <color theme="0" tint="-0.24994659260841701"/>
      </left>
      <right style="thin">
        <color theme="0" tint="-0.24994659260841701"/>
      </right>
      <top style="thin">
        <color indexed="64"/>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medium">
        <color indexed="64"/>
      </top>
      <bottom style="thin">
        <color indexed="64"/>
      </bottom>
      <diagonal/>
    </border>
    <border>
      <left style="medium">
        <color indexed="64"/>
      </left>
      <right/>
      <top style="hair">
        <color indexed="64"/>
      </top>
      <bottom/>
      <diagonal/>
    </border>
    <border>
      <left style="thin">
        <color theme="0" tint="-0.14996795556505021"/>
      </left>
      <right style="medium">
        <color indexed="64"/>
      </right>
      <top style="hair">
        <color indexed="64"/>
      </top>
      <bottom/>
      <diagonal/>
    </border>
    <border>
      <left style="thin">
        <color theme="0" tint="-0.14996795556505021"/>
      </left>
      <right style="thin">
        <color indexed="64"/>
      </right>
      <top style="hair">
        <color indexed="64"/>
      </top>
      <bottom/>
      <diagonal/>
    </border>
    <border>
      <left/>
      <right style="medium">
        <color indexed="64"/>
      </right>
      <top style="hair">
        <color indexed="64"/>
      </top>
      <bottom/>
      <diagonal/>
    </border>
    <border>
      <left style="medium">
        <color indexed="64"/>
      </left>
      <right/>
      <top style="thin">
        <color theme="0" tint="-0.24994659260841701"/>
      </top>
      <bottom style="hair">
        <color indexed="64"/>
      </bottom>
      <diagonal/>
    </border>
    <border>
      <left/>
      <right style="thin">
        <color theme="0" tint="-0.2499465926084170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theme="0" tint="-0.24994659260841701"/>
      </right>
      <top style="medium">
        <color indexed="64"/>
      </top>
      <bottom/>
      <diagonal/>
    </border>
    <border>
      <left/>
      <right style="thin">
        <color theme="0" tint="-0.24994659260841701"/>
      </right>
      <top/>
      <bottom/>
      <diagonal/>
    </border>
    <border>
      <left/>
      <right style="thin">
        <color theme="0" tint="-0.24994659260841701"/>
      </right>
      <top/>
      <bottom style="medium">
        <color indexed="64"/>
      </bottom>
      <diagonal/>
    </border>
    <border>
      <left style="thin">
        <color indexed="64"/>
      </left>
      <right style="thin">
        <color indexed="64"/>
      </right>
      <top style="medium">
        <color indexed="64"/>
      </top>
      <bottom/>
      <diagonal/>
    </border>
    <border>
      <left/>
      <right style="medium">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theme="0" tint="-0.14996795556505021"/>
      </right>
      <top style="thin">
        <color indexed="64"/>
      </top>
      <bottom style="thin">
        <color indexed="64"/>
      </bottom>
      <diagonal/>
    </border>
    <border>
      <left/>
      <right style="thin">
        <color theme="0" tint="-0.14996795556505021"/>
      </right>
      <top/>
      <bottom style="thin">
        <color indexed="64"/>
      </bottom>
      <diagonal/>
    </border>
    <border>
      <left/>
      <right/>
      <top/>
      <bottom style="hair">
        <color indexed="64"/>
      </bottom>
      <diagonal/>
    </border>
    <border>
      <left style="thin">
        <color theme="0" tint="-0.14996795556505021"/>
      </left>
      <right style="thin">
        <color theme="0" tint="-0.14996795556505021"/>
      </right>
      <top/>
      <bottom style="hair">
        <color indexed="64"/>
      </bottom>
      <diagonal/>
    </border>
    <border>
      <left style="thin">
        <color theme="0" tint="-0.14996795556505021"/>
      </left>
      <right style="medium">
        <color indexed="64"/>
      </right>
      <top/>
      <bottom style="hair">
        <color indexed="64"/>
      </bottom>
      <diagonal/>
    </border>
    <border>
      <left style="thin">
        <color theme="0" tint="-0.14996795556505021"/>
      </left>
      <right style="thin">
        <color indexed="64"/>
      </right>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theme="0" tint="-0.14996795556505021"/>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auto="1"/>
      </right>
      <top style="medium">
        <color auto="1"/>
      </top>
      <bottom style="thin">
        <color auto="1"/>
      </bottom>
      <diagonal/>
    </border>
    <border>
      <left/>
      <right style="thin">
        <color indexed="64"/>
      </right>
      <top style="thin">
        <color indexed="64"/>
      </top>
      <bottom style="double">
        <color indexed="64"/>
      </bottom>
      <diagonal/>
    </border>
    <border>
      <left style="thin">
        <color indexed="64"/>
      </left>
      <right/>
      <top style="hair">
        <color indexed="64"/>
      </top>
      <bottom/>
      <diagonal/>
    </border>
    <border>
      <left style="thin">
        <color theme="0" tint="-0.14996795556505021"/>
      </left>
      <right style="thin">
        <color theme="0" tint="-0.14996795556505021"/>
      </right>
      <top style="hair">
        <color indexed="64"/>
      </top>
      <bottom/>
      <diagonal/>
    </border>
    <border>
      <left style="thin">
        <color indexed="64"/>
      </left>
      <right/>
      <top/>
      <bottom style="hair">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9" fontId="3" fillId="0" borderId="0" applyFont="0" applyFill="0" applyBorder="0" applyAlignment="0" applyProtection="0"/>
  </cellStyleXfs>
  <cellXfs count="716">
    <xf numFmtId="0" fontId="0" fillId="0" borderId="0" xfId="0"/>
    <xf numFmtId="0" fontId="0" fillId="8" borderId="0" xfId="0" applyFill="1"/>
    <xf numFmtId="0" fontId="4" fillId="8" borderId="0" xfId="0" applyFont="1" applyFill="1" applyAlignment="1">
      <alignment horizontal="left"/>
    </xf>
    <xf numFmtId="0" fontId="1" fillId="8" borderId="0" xfId="0" applyFont="1" applyFill="1"/>
    <xf numFmtId="0" fontId="0" fillId="8" borderId="0" xfId="0" applyFill="1" applyAlignment="1">
      <alignment horizontal="center" vertical="center" wrapText="1"/>
    </xf>
    <xf numFmtId="0" fontId="0" fillId="8" borderId="0" xfId="0" applyFill="1" applyAlignment="1">
      <alignment horizontal="center" vertical="center"/>
    </xf>
    <xf numFmtId="0" fontId="0" fillId="5" borderId="133" xfId="0" applyFill="1" applyBorder="1" applyAlignment="1" applyProtection="1">
      <alignment horizontal="center" vertical="center" wrapText="1"/>
      <protection locked="0"/>
    </xf>
    <xf numFmtId="0" fontId="0" fillId="5" borderId="114" xfId="0" applyFill="1" applyBorder="1" applyAlignment="1" applyProtection="1">
      <alignment horizontal="center" vertical="center"/>
      <protection locked="0"/>
    </xf>
    <xf numFmtId="0" fontId="0" fillId="5" borderId="33" xfId="0" applyFill="1" applyBorder="1" applyAlignment="1" applyProtection="1">
      <alignment horizontal="center" vertical="center"/>
      <protection locked="0"/>
    </xf>
    <xf numFmtId="0" fontId="0" fillId="5" borderId="120" xfId="0" applyFill="1" applyBorder="1" applyAlignment="1" applyProtection="1">
      <alignment horizontal="center" vertical="center"/>
      <protection locked="0"/>
    </xf>
    <xf numFmtId="0" fontId="0" fillId="5" borderId="108" xfId="0" applyFill="1" applyBorder="1" applyAlignment="1" applyProtection="1">
      <alignment horizontal="center" vertical="center"/>
      <protection locked="0"/>
    </xf>
    <xf numFmtId="0" fontId="0" fillId="5" borderId="34" xfId="0" applyFill="1" applyBorder="1" applyAlignment="1" applyProtection="1">
      <alignment horizontal="center" vertical="center"/>
      <protection locked="0"/>
    </xf>
    <xf numFmtId="0" fontId="0" fillId="5" borderId="134" xfId="0" applyFill="1" applyBorder="1" applyAlignment="1" applyProtection="1">
      <alignment horizontal="center" vertical="center"/>
      <protection locked="0"/>
    </xf>
    <xf numFmtId="0" fontId="0" fillId="5" borderId="135" xfId="0" applyFill="1" applyBorder="1" applyAlignment="1" applyProtection="1">
      <alignment horizontal="center" vertical="center"/>
      <protection locked="0"/>
    </xf>
    <xf numFmtId="0" fontId="0" fillId="5" borderId="115" xfId="0" applyFill="1" applyBorder="1" applyAlignment="1" applyProtection="1">
      <alignment horizontal="center" vertical="center"/>
      <protection locked="0"/>
    </xf>
    <xf numFmtId="0" fontId="0" fillId="5" borderId="116" xfId="0" applyFill="1" applyBorder="1" applyAlignment="1" applyProtection="1">
      <alignment horizontal="center" vertical="center"/>
      <protection locked="0"/>
    </xf>
    <xf numFmtId="0" fontId="0" fillId="5" borderId="29" xfId="0" applyFill="1" applyBorder="1" applyAlignment="1" applyProtection="1">
      <alignment horizontal="center" vertical="center"/>
      <protection locked="0"/>
    </xf>
    <xf numFmtId="0" fontId="0" fillId="5" borderId="46" xfId="0" applyFill="1" applyBorder="1" applyAlignment="1" applyProtection="1">
      <alignment horizontal="center" vertical="center"/>
      <protection locked="0"/>
    </xf>
    <xf numFmtId="0" fontId="0" fillId="5" borderId="121" xfId="0" applyFill="1" applyBorder="1" applyAlignment="1" applyProtection="1">
      <alignment horizontal="center" vertical="center"/>
      <protection locked="0"/>
    </xf>
    <xf numFmtId="0" fontId="0" fillId="5" borderId="122" xfId="0" applyFill="1" applyBorder="1" applyAlignment="1" applyProtection="1">
      <alignment horizontal="center" vertical="center"/>
      <protection locked="0"/>
    </xf>
    <xf numFmtId="0" fontId="0" fillId="5" borderId="90" xfId="0" applyFill="1" applyBorder="1" applyAlignment="1" applyProtection="1">
      <alignment horizontal="center" vertical="center"/>
      <protection locked="0"/>
    </xf>
    <xf numFmtId="0" fontId="0" fillId="5" borderId="91" xfId="0" applyFill="1" applyBorder="1" applyAlignment="1" applyProtection="1">
      <alignment horizontal="center" vertical="center"/>
      <protection locked="0"/>
    </xf>
    <xf numFmtId="0" fontId="0" fillId="5" borderId="12" xfId="0" applyFill="1" applyBorder="1" applyAlignment="1" applyProtection="1">
      <alignment horizontal="center" vertical="center"/>
      <protection locked="0"/>
    </xf>
    <xf numFmtId="0" fontId="0" fillId="5" borderId="47" xfId="0" applyFill="1" applyBorder="1" applyAlignment="1" applyProtection="1">
      <alignment horizontal="center" vertical="center"/>
      <protection locked="0"/>
    </xf>
    <xf numFmtId="0" fontId="0" fillId="5" borderId="136" xfId="0" applyFill="1" applyBorder="1" applyAlignment="1" applyProtection="1">
      <alignment horizontal="center" vertical="center"/>
      <protection locked="0"/>
    </xf>
    <xf numFmtId="0" fontId="0" fillId="5" borderId="117" xfId="0" applyFill="1" applyBorder="1" applyAlignment="1" applyProtection="1">
      <alignment horizontal="center" vertical="center"/>
      <protection locked="0"/>
    </xf>
    <xf numFmtId="0" fontId="0" fillId="5" borderId="30" xfId="0" applyFill="1" applyBorder="1" applyAlignment="1" applyProtection="1">
      <alignment horizontal="center" vertical="center"/>
      <protection locked="0"/>
    </xf>
    <xf numFmtId="0" fontId="0" fillId="5" borderId="123" xfId="0" applyFill="1" applyBorder="1" applyAlignment="1" applyProtection="1">
      <alignment horizontal="center" vertical="center"/>
      <protection locked="0"/>
    </xf>
    <xf numFmtId="0" fontId="0" fillId="5" borderId="92" xfId="0" applyFill="1" applyBorder="1" applyAlignment="1" applyProtection="1">
      <alignment horizontal="center" vertical="center"/>
      <protection locked="0"/>
    </xf>
    <xf numFmtId="0" fontId="0" fillId="5" borderId="14" xfId="0" applyFill="1" applyBorder="1" applyAlignment="1" applyProtection="1">
      <alignment horizontal="center" vertical="center"/>
      <protection locked="0"/>
    </xf>
    <xf numFmtId="0" fontId="0" fillId="5" borderId="136" xfId="0" applyFill="1" applyBorder="1" applyAlignment="1" applyProtection="1">
      <alignment horizontal="center" vertical="center" wrapText="1"/>
      <protection locked="0"/>
    </xf>
    <xf numFmtId="0" fontId="0" fillId="5" borderId="47" xfId="0" applyFill="1" applyBorder="1" applyAlignment="1" applyProtection="1">
      <alignment horizontal="center" vertical="center" wrapText="1"/>
      <protection locked="0"/>
    </xf>
    <xf numFmtId="0" fontId="0" fillId="5" borderId="35"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0" fillId="5" borderId="48" xfId="0"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2" fillId="5" borderId="30" xfId="0" applyFont="1" applyFill="1" applyBorder="1" applyAlignment="1" applyProtection="1">
      <alignment horizontal="center" vertical="center"/>
      <protection locked="0"/>
    </xf>
    <xf numFmtId="0" fontId="0" fillId="5" borderId="3" xfId="0" applyFill="1" applyBorder="1" applyAlignment="1" applyProtection="1">
      <alignment horizontal="center" vertical="center"/>
      <protection locked="0"/>
    </xf>
    <xf numFmtId="0" fontId="0" fillId="5" borderId="149" xfId="0" applyFill="1" applyBorder="1" applyAlignment="1" applyProtection="1">
      <alignment horizontal="center" vertical="center"/>
      <protection locked="0"/>
    </xf>
    <xf numFmtId="0" fontId="0" fillId="8" borderId="0" xfId="0" applyFill="1" applyAlignment="1" applyProtection="1">
      <alignment horizontal="center"/>
    </xf>
    <xf numFmtId="0" fontId="10" fillId="8" borderId="0" xfId="0" applyFont="1" applyFill="1" applyAlignment="1"/>
    <xf numFmtId="0" fontId="0" fillId="8" borderId="0" xfId="0" applyFill="1" applyAlignment="1">
      <alignment horizontal="center"/>
    </xf>
    <xf numFmtId="0" fontId="18" fillId="8" borderId="0" xfId="0" applyFont="1" applyFill="1" applyAlignment="1">
      <alignment horizontal="left" vertical="center" wrapText="1"/>
    </xf>
    <xf numFmtId="0" fontId="22" fillId="8" borderId="0" xfId="0" applyFont="1" applyFill="1" applyAlignment="1">
      <alignment vertical="center" wrapText="1"/>
    </xf>
    <xf numFmtId="0" fontId="15" fillId="8" borderId="0" xfId="0" applyFont="1" applyFill="1"/>
    <xf numFmtId="0" fontId="20" fillId="8" borderId="0" xfId="0" applyFont="1" applyFill="1"/>
    <xf numFmtId="0" fontId="19" fillId="8" borderId="0" xfId="0" applyFont="1" applyFill="1" applyAlignment="1">
      <alignment horizontal="center"/>
    </xf>
    <xf numFmtId="0" fontId="17" fillId="8" borderId="0" xfId="0" applyFont="1" applyFill="1" applyAlignment="1">
      <alignment horizontal="left" vertical="center" wrapText="1"/>
    </xf>
    <xf numFmtId="0" fontId="17" fillId="8" borderId="0" xfId="0" applyFont="1" applyFill="1" applyAlignment="1">
      <alignment vertical="center" wrapText="1"/>
    </xf>
    <xf numFmtId="0" fontId="0" fillId="8" borderId="0" xfId="0" applyFill="1" applyAlignment="1">
      <alignment vertical="center"/>
    </xf>
    <xf numFmtId="0" fontId="18" fillId="8" borderId="0" xfId="0" applyFont="1" applyFill="1" applyAlignment="1">
      <alignment vertical="center" wrapText="1"/>
    </xf>
    <xf numFmtId="0" fontId="0" fillId="8" borderId="0" xfId="0" applyFill="1" applyAlignment="1">
      <alignment horizontal="center"/>
    </xf>
    <xf numFmtId="0" fontId="0" fillId="8" borderId="0" xfId="0" applyFill="1" applyAlignment="1">
      <alignment horizontal="left"/>
    </xf>
    <xf numFmtId="0" fontId="0" fillId="8" borderId="0" xfId="0" applyFill="1" applyBorder="1" applyAlignment="1" applyProtection="1">
      <alignment horizontal="center"/>
    </xf>
    <xf numFmtId="0" fontId="0" fillId="5" borderId="167" xfId="0" applyFill="1" applyBorder="1" applyAlignment="1" applyProtection="1">
      <alignment horizontal="center" vertical="center"/>
      <protection locked="0"/>
    </xf>
    <xf numFmtId="0" fontId="0" fillId="5" borderId="110" xfId="0" applyFill="1" applyBorder="1" applyAlignment="1" applyProtection="1">
      <alignment horizontal="center" vertical="center"/>
      <protection locked="0"/>
    </xf>
    <xf numFmtId="0" fontId="0" fillId="5" borderId="168" xfId="0" applyFill="1" applyBorder="1" applyAlignment="1" applyProtection="1">
      <alignment horizontal="center" vertical="center"/>
      <protection locked="0"/>
    </xf>
    <xf numFmtId="0" fontId="0" fillId="5" borderId="160" xfId="0" applyFill="1" applyBorder="1" applyAlignment="1" applyProtection="1">
      <alignment horizontal="center" vertical="center"/>
      <protection locked="0"/>
    </xf>
    <xf numFmtId="0" fontId="0" fillId="8" borderId="0" xfId="0" applyFill="1" applyAlignment="1">
      <alignment horizontal="center"/>
    </xf>
    <xf numFmtId="0" fontId="0" fillId="8" borderId="0" xfId="0" applyFill="1" applyAlignment="1"/>
    <xf numFmtId="0" fontId="0" fillId="8" borderId="0" xfId="0" applyFill="1" applyAlignment="1">
      <alignment vertical="top" wrapText="1"/>
    </xf>
    <xf numFmtId="0" fontId="0" fillId="8" borderId="0" xfId="0" applyFill="1" applyAlignment="1">
      <alignment horizontal="center"/>
    </xf>
    <xf numFmtId="0" fontId="27" fillId="8" borderId="0" xfId="0" applyFont="1" applyFill="1" applyAlignment="1">
      <alignment vertical="top" wrapText="1"/>
    </xf>
    <xf numFmtId="0" fontId="1" fillId="8" borderId="0" xfId="0" applyFont="1" applyFill="1" applyAlignment="1">
      <alignment horizontal="center" vertical="center"/>
    </xf>
    <xf numFmtId="0" fontId="16" fillId="8" borderId="0" xfId="0" applyFont="1" applyFill="1" applyAlignment="1">
      <alignment vertical="top" wrapText="1"/>
    </xf>
    <xf numFmtId="0" fontId="0" fillId="5" borderId="1" xfId="0" applyFill="1" applyBorder="1" applyAlignment="1" applyProtection="1">
      <alignment horizontal="center"/>
      <protection locked="0"/>
    </xf>
    <xf numFmtId="0" fontId="0" fillId="8" borderId="28" xfId="0" applyFill="1" applyBorder="1" applyAlignment="1" applyProtection="1">
      <alignment horizontal="center"/>
    </xf>
    <xf numFmtId="9" fontId="8" fillId="8" borderId="0" xfId="1" applyFont="1" applyFill="1" applyBorder="1" applyAlignment="1" applyProtection="1">
      <alignment vertical="center"/>
    </xf>
    <xf numFmtId="0" fontId="0" fillId="8" borderId="0" xfId="0" applyFill="1" applyAlignment="1">
      <alignment horizontal="center"/>
    </xf>
    <xf numFmtId="0" fontId="8" fillId="8" borderId="0" xfId="0" applyFont="1" applyFill="1" applyBorder="1" applyAlignment="1">
      <alignment vertical="center"/>
    </xf>
    <xf numFmtId="0" fontId="0" fillId="8" borderId="0" xfId="0" applyFill="1" applyAlignment="1">
      <alignment horizontal="center"/>
    </xf>
    <xf numFmtId="0" fontId="0" fillId="5" borderId="38" xfId="0" applyFont="1" applyFill="1" applyBorder="1" applyAlignment="1" applyProtection="1">
      <alignment horizontal="center" vertical="center"/>
      <protection locked="0"/>
    </xf>
    <xf numFmtId="0" fontId="0" fillId="5" borderId="132" xfId="0" applyFont="1" applyFill="1" applyBorder="1" applyAlignment="1" applyProtection="1">
      <alignment horizontal="center" vertical="center" wrapText="1"/>
      <protection locked="0"/>
    </xf>
    <xf numFmtId="0" fontId="0" fillId="5" borderId="113" xfId="0" applyFont="1" applyFill="1" applyBorder="1" applyAlignment="1" applyProtection="1">
      <alignment horizontal="center" vertical="center"/>
      <protection locked="0"/>
    </xf>
    <xf numFmtId="0" fontId="0" fillId="5" borderId="119" xfId="0" applyFont="1" applyFill="1" applyBorder="1" applyAlignment="1" applyProtection="1">
      <alignment horizontal="center" vertical="center"/>
      <protection locked="0"/>
    </xf>
    <xf numFmtId="0" fontId="0" fillId="5" borderId="177" xfId="0" applyFont="1" applyFill="1" applyBorder="1" applyAlignment="1" applyProtection="1">
      <alignment horizontal="center" vertical="center"/>
      <protection locked="0"/>
    </xf>
    <xf numFmtId="0" fontId="0" fillId="5" borderId="166" xfId="0" applyFont="1" applyFill="1" applyBorder="1" applyAlignment="1" applyProtection="1">
      <alignment horizontal="center" vertical="center"/>
      <protection locked="0"/>
    </xf>
    <xf numFmtId="0" fontId="0" fillId="5" borderId="107" xfId="0" applyFont="1" applyFill="1" applyBorder="1" applyAlignment="1" applyProtection="1">
      <alignment horizontal="center" vertical="center"/>
      <protection locked="0"/>
    </xf>
    <xf numFmtId="0" fontId="0" fillId="5" borderId="39" xfId="0" applyFont="1" applyFill="1" applyBorder="1" applyAlignment="1" applyProtection="1">
      <alignment horizontal="center" vertical="center"/>
      <protection locked="0"/>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8" fillId="8" borderId="4" xfId="0" applyFont="1" applyFill="1" applyBorder="1" applyAlignment="1">
      <alignment vertical="center"/>
    </xf>
    <xf numFmtId="9" fontId="29" fillId="8" borderId="0" xfId="1" applyFont="1" applyFill="1" applyBorder="1" applyAlignment="1" applyProtection="1">
      <alignment vertical="center"/>
    </xf>
    <xf numFmtId="1" fontId="1" fillId="11" borderId="140" xfId="0" applyNumberFormat="1" applyFont="1" applyFill="1" applyBorder="1" applyAlignment="1">
      <alignment horizontal="center" vertical="center" wrapText="1"/>
    </xf>
    <xf numFmtId="1" fontId="0" fillId="11" borderId="152" xfId="0" applyNumberFormat="1" applyFill="1" applyBorder="1" applyAlignment="1">
      <alignment horizontal="center" vertical="center" wrapText="1"/>
    </xf>
    <xf numFmtId="1" fontId="0" fillId="11" borderId="153" xfId="0" applyNumberFormat="1" applyFill="1" applyBorder="1" applyAlignment="1">
      <alignment horizontal="center" vertical="center" wrapText="1"/>
    </xf>
    <xf numFmtId="1" fontId="1" fillId="11" borderId="54" xfId="0" applyNumberFormat="1" applyFont="1" applyFill="1" applyBorder="1" applyAlignment="1">
      <alignment horizontal="center" vertical="center" wrapText="1"/>
    </xf>
    <xf numFmtId="1" fontId="0" fillId="11" borderId="53" xfId="0" applyNumberFormat="1" applyFill="1" applyBorder="1" applyAlignment="1">
      <alignment horizontal="center" vertical="center" wrapText="1"/>
    </xf>
    <xf numFmtId="1" fontId="0" fillId="11" borderId="55" xfId="0" applyNumberFormat="1" applyFill="1" applyBorder="1" applyAlignment="1">
      <alignment horizontal="center" vertical="center" wrapText="1"/>
    </xf>
    <xf numFmtId="1" fontId="1" fillId="11" borderId="54" xfId="0" applyNumberFormat="1" applyFont="1" applyFill="1" applyBorder="1" applyAlignment="1">
      <alignment horizontal="center"/>
    </xf>
    <xf numFmtId="1" fontId="0" fillId="11" borderId="53" xfId="0" applyNumberFormat="1" applyFill="1" applyBorder="1" applyAlignment="1">
      <alignment horizontal="center"/>
    </xf>
    <xf numFmtId="1" fontId="0" fillId="11" borderId="55" xfId="0" applyNumberFormat="1" applyFill="1" applyBorder="1" applyAlignment="1">
      <alignment horizontal="center"/>
    </xf>
    <xf numFmtId="1" fontId="1" fillId="11" borderId="56" xfId="0" applyNumberFormat="1" applyFont="1" applyFill="1" applyBorder="1" applyAlignment="1">
      <alignment horizontal="center" vertical="center"/>
    </xf>
    <xf numFmtId="1" fontId="0" fillId="11" borderId="57" xfId="0" applyNumberFormat="1" applyFill="1" applyBorder="1" applyAlignment="1">
      <alignment horizontal="center" vertical="center"/>
    </xf>
    <xf numFmtId="1" fontId="0" fillId="11" borderId="58" xfId="0" applyNumberFormat="1" applyFill="1" applyBorder="1" applyAlignment="1">
      <alignment horizontal="center" vertical="center"/>
    </xf>
    <xf numFmtId="1" fontId="1" fillId="10" borderId="140" xfId="0" applyNumberFormat="1" applyFont="1" applyFill="1" applyBorder="1" applyAlignment="1">
      <alignment horizontal="center" vertical="center" wrapText="1"/>
    </xf>
    <xf numFmtId="1" fontId="0" fillId="10" borderId="152" xfId="0" applyNumberFormat="1" applyFill="1" applyBorder="1" applyAlignment="1">
      <alignment horizontal="center" vertical="center" wrapText="1"/>
    </xf>
    <xf numFmtId="1" fontId="0" fillId="10" borderId="153" xfId="0" applyNumberFormat="1" applyFill="1" applyBorder="1" applyAlignment="1">
      <alignment horizontal="center" vertical="center" wrapText="1"/>
    </xf>
    <xf numFmtId="1" fontId="1" fillId="10" borderId="54" xfId="0" applyNumberFormat="1" applyFont="1" applyFill="1" applyBorder="1" applyAlignment="1">
      <alignment horizontal="center" vertical="center" wrapText="1"/>
    </xf>
    <xf numFmtId="1" fontId="0" fillId="10" borderId="53" xfId="0" applyNumberFormat="1" applyFill="1" applyBorder="1" applyAlignment="1">
      <alignment horizontal="center" vertical="center" wrapText="1"/>
    </xf>
    <xf numFmtId="1" fontId="0" fillId="10" borderId="55" xfId="0" applyNumberFormat="1" applyFill="1" applyBorder="1" applyAlignment="1">
      <alignment horizontal="center" vertical="center" wrapText="1"/>
    </xf>
    <xf numFmtId="1" fontId="1" fillId="10" borderId="54" xfId="0" applyNumberFormat="1" applyFont="1" applyFill="1" applyBorder="1" applyAlignment="1">
      <alignment horizontal="center"/>
    </xf>
    <xf numFmtId="1" fontId="0" fillId="10" borderId="53" xfId="0" applyNumberFormat="1" applyFill="1" applyBorder="1" applyAlignment="1">
      <alignment horizontal="center"/>
    </xf>
    <xf numFmtId="1" fontId="0" fillId="10" borderId="55" xfId="0" applyNumberFormat="1" applyFill="1" applyBorder="1" applyAlignment="1">
      <alignment horizontal="center"/>
    </xf>
    <xf numFmtId="1" fontId="1" fillId="10" borderId="56" xfId="0" applyNumberFormat="1" applyFont="1" applyFill="1" applyBorder="1" applyAlignment="1">
      <alignment horizontal="center" vertical="center"/>
    </xf>
    <xf numFmtId="1" fontId="0" fillId="10" borderId="57" xfId="0" applyNumberFormat="1" applyFill="1" applyBorder="1" applyAlignment="1">
      <alignment horizontal="center" vertical="center"/>
    </xf>
    <xf numFmtId="1" fontId="0" fillId="10" borderId="58" xfId="0" applyNumberFormat="1" applyFill="1" applyBorder="1" applyAlignment="1">
      <alignment horizontal="center" vertical="center"/>
    </xf>
    <xf numFmtId="1" fontId="1" fillId="4" borderId="140" xfId="0" applyNumberFormat="1" applyFont="1" applyFill="1" applyBorder="1" applyAlignment="1">
      <alignment horizontal="center" vertical="center" wrapText="1"/>
    </xf>
    <xf numFmtId="1" fontId="0" fillId="4" borderId="152" xfId="0" applyNumberFormat="1" applyFill="1" applyBorder="1" applyAlignment="1">
      <alignment horizontal="center" vertical="center" wrapText="1"/>
    </xf>
    <xf numFmtId="1" fontId="0" fillId="4" borderId="153" xfId="0" applyNumberFormat="1" applyFill="1" applyBorder="1" applyAlignment="1">
      <alignment horizontal="center" vertical="center" wrapText="1"/>
    </xf>
    <xf numFmtId="1" fontId="1" fillId="4" borderId="54" xfId="0" applyNumberFormat="1" applyFont="1" applyFill="1" applyBorder="1" applyAlignment="1">
      <alignment horizontal="center" vertical="center" wrapText="1"/>
    </xf>
    <xf numFmtId="1" fontId="0" fillId="4" borderId="53" xfId="0" applyNumberFormat="1" applyFill="1" applyBorder="1" applyAlignment="1">
      <alignment horizontal="center" vertical="center" wrapText="1"/>
    </xf>
    <xf numFmtId="1" fontId="0" fillId="4" borderId="55" xfId="0" applyNumberFormat="1" applyFill="1" applyBorder="1" applyAlignment="1">
      <alignment horizontal="center" vertical="center" wrapText="1"/>
    </xf>
    <xf numFmtId="1" fontId="1" fillId="4" borderId="54" xfId="0" applyNumberFormat="1" applyFont="1" applyFill="1" applyBorder="1" applyAlignment="1">
      <alignment horizontal="center"/>
    </xf>
    <xf numFmtId="1" fontId="0" fillId="4" borderId="53" xfId="0" applyNumberFormat="1" applyFill="1" applyBorder="1" applyAlignment="1">
      <alignment horizontal="center"/>
    </xf>
    <xf numFmtId="1" fontId="0" fillId="4" borderId="55" xfId="0" applyNumberFormat="1" applyFill="1" applyBorder="1" applyAlignment="1">
      <alignment horizontal="center"/>
    </xf>
    <xf numFmtId="1" fontId="1" fillId="4" borderId="56" xfId="0" applyNumberFormat="1" applyFont="1" applyFill="1" applyBorder="1" applyAlignment="1">
      <alignment horizontal="center" vertical="center"/>
    </xf>
    <xf numFmtId="1" fontId="0" fillId="4" borderId="57" xfId="0" applyNumberFormat="1" applyFill="1" applyBorder="1" applyAlignment="1">
      <alignment horizontal="center" vertical="center"/>
    </xf>
    <xf numFmtId="1" fontId="0" fillId="4" borderId="58" xfId="0" applyNumberFormat="1" applyFill="1" applyBorder="1" applyAlignment="1">
      <alignment horizontal="center" vertical="center"/>
    </xf>
    <xf numFmtId="1" fontId="1" fillId="11" borderId="152" xfId="0" applyNumberFormat="1" applyFont="1" applyFill="1" applyBorder="1" applyAlignment="1">
      <alignment horizontal="center" vertical="center" wrapText="1"/>
    </xf>
    <xf numFmtId="1" fontId="1" fillId="4" borderId="153" xfId="0" applyNumberFormat="1" applyFont="1" applyFill="1" applyBorder="1" applyAlignment="1">
      <alignment horizontal="center" vertical="center" wrapText="1"/>
    </xf>
    <xf numFmtId="1" fontId="1" fillId="10" borderId="66" xfId="0" applyNumberFormat="1" applyFont="1" applyFill="1" applyBorder="1" applyAlignment="1">
      <alignment horizontal="center" vertical="center" wrapText="1"/>
    </xf>
    <xf numFmtId="1" fontId="1" fillId="10" borderId="174" xfId="0" applyNumberFormat="1" applyFont="1" applyFill="1" applyBorder="1" applyAlignment="1">
      <alignment horizontal="center" vertical="center" wrapText="1"/>
    </xf>
    <xf numFmtId="1" fontId="5" fillId="10" borderId="66" xfId="0" applyNumberFormat="1" applyFont="1" applyFill="1" applyBorder="1" applyAlignment="1">
      <alignment horizontal="center" vertical="center" wrapText="1"/>
    </xf>
    <xf numFmtId="1" fontId="1" fillId="10" borderId="175" xfId="0" applyNumberFormat="1" applyFont="1" applyFill="1" applyBorder="1" applyAlignment="1">
      <alignment horizontal="center" vertical="center" wrapText="1"/>
    </xf>
    <xf numFmtId="1" fontId="1" fillId="10" borderId="173" xfId="0" applyNumberFormat="1" applyFont="1" applyFill="1" applyBorder="1" applyAlignment="1">
      <alignment horizontal="center" vertical="center" wrapText="1"/>
    </xf>
    <xf numFmtId="1" fontId="1" fillId="10" borderId="18" xfId="0" applyNumberFormat="1" applyFont="1" applyFill="1" applyBorder="1" applyAlignment="1">
      <alignment horizontal="center" vertical="center" wrapText="1"/>
    </xf>
    <xf numFmtId="1" fontId="0" fillId="10" borderId="59" xfId="0" applyNumberFormat="1" applyFill="1" applyBorder="1" applyAlignment="1">
      <alignment horizontal="center" vertical="center" wrapText="1"/>
    </xf>
    <xf numFmtId="1" fontId="0" fillId="10" borderId="60" xfId="0" applyNumberFormat="1" applyFill="1" applyBorder="1" applyAlignment="1">
      <alignment horizontal="center" vertical="center" wrapText="1"/>
    </xf>
    <xf numFmtId="1" fontId="5" fillId="10" borderId="54" xfId="0" applyNumberFormat="1" applyFont="1" applyFill="1" applyBorder="1" applyAlignment="1">
      <alignment horizontal="center" vertical="center" wrapText="1"/>
    </xf>
    <xf numFmtId="1" fontId="2" fillId="10" borderId="53" xfId="0" applyNumberFormat="1" applyFont="1" applyFill="1" applyBorder="1" applyAlignment="1">
      <alignment horizontal="center" vertical="center" wrapText="1"/>
    </xf>
    <xf numFmtId="1" fontId="2" fillId="10" borderId="55" xfId="0" applyNumberFormat="1" applyFont="1" applyFill="1" applyBorder="1" applyAlignment="1">
      <alignment horizontal="center" vertical="center" wrapText="1"/>
    </xf>
    <xf numFmtId="1" fontId="1" fillId="10" borderId="85" xfId="0" applyNumberFormat="1" applyFont="1" applyFill="1" applyBorder="1" applyAlignment="1">
      <alignment horizontal="center" vertical="center" wrapText="1"/>
    </xf>
    <xf numFmtId="1" fontId="0" fillId="10" borderId="86" xfId="0" applyNumberFormat="1" applyFill="1" applyBorder="1" applyAlignment="1">
      <alignment horizontal="center" vertical="center" wrapText="1"/>
    </xf>
    <xf numFmtId="1" fontId="0" fillId="10" borderId="87" xfId="0" applyNumberFormat="1" applyFill="1" applyBorder="1" applyAlignment="1">
      <alignment horizontal="center" vertical="center" wrapText="1"/>
    </xf>
    <xf numFmtId="1" fontId="1" fillId="10" borderId="56" xfId="0" applyNumberFormat="1" applyFont="1" applyFill="1" applyBorder="1" applyAlignment="1">
      <alignment horizontal="center" vertical="center" wrapText="1"/>
    </xf>
    <xf numFmtId="1" fontId="0" fillId="10" borderId="57" xfId="0" applyNumberFormat="1" applyFill="1" applyBorder="1" applyAlignment="1">
      <alignment horizontal="center" vertical="center" wrapText="1"/>
    </xf>
    <xf numFmtId="1" fontId="0" fillId="10" borderId="58" xfId="0" applyNumberFormat="1" applyFill="1" applyBorder="1" applyAlignment="1">
      <alignment horizontal="center" vertical="center" wrapText="1"/>
    </xf>
    <xf numFmtId="1" fontId="1" fillId="11" borderId="59" xfId="0" applyNumberFormat="1" applyFont="1" applyFill="1" applyBorder="1" applyAlignment="1">
      <alignment horizontal="center" vertical="center" wrapText="1"/>
    </xf>
    <xf numFmtId="1" fontId="5" fillId="11" borderId="59" xfId="0" applyNumberFormat="1" applyFont="1" applyFill="1" applyBorder="1" applyAlignment="1">
      <alignment horizontal="center" vertical="center" wrapText="1"/>
    </xf>
    <xf numFmtId="1" fontId="1" fillId="11" borderId="86" xfId="0" applyNumberFormat="1" applyFont="1" applyFill="1" applyBorder="1" applyAlignment="1">
      <alignment horizontal="center" vertical="center" wrapText="1"/>
    </xf>
    <xf numFmtId="1" fontId="1" fillId="11" borderId="57" xfId="0" applyNumberFormat="1" applyFont="1" applyFill="1" applyBorder="1" applyAlignment="1">
      <alignment horizontal="center" vertical="center" wrapText="1"/>
    </xf>
    <xf numFmtId="1" fontId="1" fillId="11" borderId="18" xfId="0" applyNumberFormat="1" applyFont="1" applyFill="1" applyBorder="1" applyAlignment="1">
      <alignment horizontal="center" vertical="center" wrapText="1"/>
    </xf>
    <xf numFmtId="1" fontId="0" fillId="11" borderId="59" xfId="0" applyNumberFormat="1" applyFill="1" applyBorder="1" applyAlignment="1">
      <alignment horizontal="center" vertical="center" wrapText="1"/>
    </xf>
    <xf numFmtId="1" fontId="0" fillId="11" borderId="60" xfId="0" applyNumberFormat="1" applyFill="1" applyBorder="1" applyAlignment="1">
      <alignment horizontal="center" vertical="center" wrapText="1"/>
    </xf>
    <xf numFmtId="1" fontId="5" fillId="11" borderId="54" xfId="0" applyNumberFormat="1" applyFont="1" applyFill="1" applyBorder="1" applyAlignment="1">
      <alignment horizontal="center" vertical="center" wrapText="1"/>
    </xf>
    <xf numFmtId="1" fontId="2" fillId="11" borderId="53" xfId="0" applyNumberFormat="1" applyFont="1" applyFill="1" applyBorder="1" applyAlignment="1">
      <alignment horizontal="center" vertical="center" wrapText="1"/>
    </xf>
    <xf numFmtId="1" fontId="2" fillId="11" borderId="55" xfId="0" applyNumberFormat="1" applyFont="1" applyFill="1" applyBorder="1" applyAlignment="1">
      <alignment horizontal="center" vertical="center" wrapText="1"/>
    </xf>
    <xf numFmtId="1" fontId="1" fillId="11" borderId="85" xfId="0" applyNumberFormat="1" applyFont="1" applyFill="1" applyBorder="1" applyAlignment="1">
      <alignment horizontal="center" vertical="center" wrapText="1"/>
    </xf>
    <xf numFmtId="1" fontId="0" fillId="11" borderId="86" xfId="0" applyNumberFormat="1" applyFill="1" applyBorder="1" applyAlignment="1">
      <alignment horizontal="center" vertical="center" wrapText="1"/>
    </xf>
    <xf numFmtId="1" fontId="0" fillId="11" borderId="87" xfId="0" applyNumberFormat="1" applyFill="1" applyBorder="1" applyAlignment="1">
      <alignment horizontal="center" vertical="center" wrapText="1"/>
    </xf>
    <xf numFmtId="1" fontId="1" fillId="11" borderId="56" xfId="0" applyNumberFormat="1" applyFont="1" applyFill="1" applyBorder="1" applyAlignment="1">
      <alignment horizontal="center" vertical="center" wrapText="1"/>
    </xf>
    <xf numFmtId="1" fontId="0" fillId="11" borderId="57" xfId="0" applyNumberFormat="1" applyFill="1" applyBorder="1" applyAlignment="1">
      <alignment horizontal="center" vertical="center" wrapText="1"/>
    </xf>
    <xf numFmtId="1" fontId="0" fillId="11" borderId="58" xfId="0" applyNumberFormat="1" applyFill="1" applyBorder="1" applyAlignment="1">
      <alignment horizontal="center" vertical="center" wrapText="1"/>
    </xf>
    <xf numFmtId="1" fontId="1" fillId="4" borderId="18" xfId="0" applyNumberFormat="1" applyFont="1" applyFill="1" applyBorder="1" applyAlignment="1">
      <alignment horizontal="center" vertical="center" wrapText="1"/>
    </xf>
    <xf numFmtId="1" fontId="0" fillId="4" borderId="59" xfId="0" applyNumberFormat="1" applyFill="1" applyBorder="1" applyAlignment="1">
      <alignment horizontal="center" vertical="center" wrapText="1"/>
    </xf>
    <xf numFmtId="1" fontId="0" fillId="4" borderId="60" xfId="0" applyNumberFormat="1" applyFill="1" applyBorder="1" applyAlignment="1">
      <alignment horizontal="center" vertical="center" wrapText="1"/>
    </xf>
    <xf numFmtId="1" fontId="5" fillId="4" borderId="54" xfId="0" applyNumberFormat="1" applyFont="1" applyFill="1" applyBorder="1" applyAlignment="1">
      <alignment horizontal="center" vertical="center" wrapText="1"/>
    </xf>
    <xf numFmtId="1" fontId="2" fillId="4" borderId="53" xfId="0" applyNumberFormat="1" applyFont="1" applyFill="1" applyBorder="1" applyAlignment="1">
      <alignment horizontal="center" vertical="center" wrapText="1"/>
    </xf>
    <xf numFmtId="1" fontId="2" fillId="4" borderId="55" xfId="0" applyNumberFormat="1" applyFont="1" applyFill="1" applyBorder="1" applyAlignment="1">
      <alignment horizontal="center" vertical="center" wrapText="1"/>
    </xf>
    <xf numFmtId="1" fontId="1" fillId="4" borderId="85" xfId="0" applyNumberFormat="1" applyFont="1" applyFill="1" applyBorder="1" applyAlignment="1">
      <alignment horizontal="center" vertical="center" wrapText="1"/>
    </xf>
    <xf numFmtId="1" fontId="0" fillId="4" borderId="86" xfId="0" applyNumberFormat="1" applyFill="1" applyBorder="1" applyAlignment="1">
      <alignment horizontal="center" vertical="center" wrapText="1"/>
    </xf>
    <xf numFmtId="1" fontId="0" fillId="4" borderId="87" xfId="0" applyNumberFormat="1" applyFill="1" applyBorder="1" applyAlignment="1">
      <alignment horizontal="center" vertical="center" wrapText="1"/>
    </xf>
    <xf numFmtId="1" fontId="1" fillId="4" borderId="56" xfId="0" applyNumberFormat="1" applyFont="1" applyFill="1" applyBorder="1" applyAlignment="1">
      <alignment horizontal="center" vertical="center" wrapText="1"/>
    </xf>
    <xf numFmtId="1" fontId="0" fillId="4" borderId="57" xfId="0" applyNumberFormat="1" applyFill="1" applyBorder="1" applyAlignment="1">
      <alignment horizontal="center" vertical="center" wrapText="1"/>
    </xf>
    <xf numFmtId="1" fontId="0" fillId="4" borderId="58" xfId="0" applyNumberFormat="1" applyFill="1" applyBorder="1" applyAlignment="1">
      <alignment horizontal="center" vertical="center" wrapText="1"/>
    </xf>
    <xf numFmtId="1" fontId="1" fillId="4" borderId="60" xfId="0" applyNumberFormat="1" applyFont="1" applyFill="1" applyBorder="1" applyAlignment="1">
      <alignment horizontal="center" vertical="center" wrapText="1"/>
    </xf>
    <xf numFmtId="1" fontId="5" fillId="4" borderId="60" xfId="0" applyNumberFormat="1" applyFont="1" applyFill="1" applyBorder="1" applyAlignment="1">
      <alignment horizontal="center" vertical="center" wrapText="1"/>
    </xf>
    <xf numFmtId="1" fontId="1" fillId="4" borderId="87" xfId="0" applyNumberFormat="1" applyFont="1" applyFill="1" applyBorder="1" applyAlignment="1">
      <alignment horizontal="center" vertical="center" wrapText="1"/>
    </xf>
    <xf numFmtId="1" fontId="1" fillId="4" borderId="58" xfId="0" applyNumberFormat="1" applyFont="1" applyFill="1" applyBorder="1" applyAlignment="1">
      <alignment horizontal="center" vertical="center" wrapText="1"/>
    </xf>
    <xf numFmtId="0" fontId="0" fillId="9" borderId="14" xfId="0" applyFill="1" applyBorder="1" applyAlignment="1" applyProtection="1">
      <alignment horizontal="center" vertical="center"/>
      <protection locked="0"/>
    </xf>
    <xf numFmtId="0" fontId="0" fillId="9" borderId="43" xfId="0" applyFont="1" applyFill="1" applyBorder="1" applyAlignment="1" applyProtection="1">
      <alignment horizontal="center" vertical="center"/>
      <protection locked="0"/>
    </xf>
    <xf numFmtId="0" fontId="0" fillId="9" borderId="38" xfId="0" applyFont="1" applyFill="1" applyBorder="1" applyAlignment="1" applyProtection="1">
      <alignment horizontal="center" vertical="center"/>
      <protection locked="0"/>
    </xf>
    <xf numFmtId="0" fontId="0" fillId="9" borderId="39" xfId="0" applyFont="1" applyFill="1" applyBorder="1" applyAlignment="1" applyProtection="1">
      <alignment horizontal="center" vertical="center"/>
      <protection locked="0"/>
    </xf>
    <xf numFmtId="0" fontId="0" fillId="9" borderId="44" xfId="0" applyFont="1" applyFill="1" applyBorder="1" applyAlignment="1" applyProtection="1">
      <alignment horizontal="center" vertical="center"/>
      <protection locked="0"/>
    </xf>
    <xf numFmtId="0" fontId="0" fillId="9" borderId="42" xfId="0" applyFont="1" applyFill="1" applyBorder="1" applyAlignment="1" applyProtection="1">
      <alignment horizontal="center" vertical="center"/>
      <protection locked="0"/>
    </xf>
    <xf numFmtId="0" fontId="0" fillId="9" borderId="41" xfId="0" applyFont="1" applyFill="1" applyBorder="1" applyAlignment="1" applyProtection="1">
      <alignment horizontal="center" vertical="center"/>
      <protection locked="0"/>
    </xf>
    <xf numFmtId="0" fontId="2" fillId="9" borderId="5" xfId="0" applyFont="1" applyFill="1" applyBorder="1" applyAlignment="1" applyProtection="1">
      <alignment horizontal="center" vertical="center"/>
      <protection locked="0"/>
    </xf>
    <xf numFmtId="0" fontId="0" fillId="9" borderId="30" xfId="0" applyFill="1" applyBorder="1" applyAlignment="1" applyProtection="1">
      <alignment horizontal="center" vertical="center"/>
      <protection locked="0"/>
    </xf>
    <xf numFmtId="0" fontId="0" fillId="9" borderId="31" xfId="0" applyFill="1" applyBorder="1" applyAlignment="1" applyProtection="1">
      <alignment horizontal="center" vertical="center"/>
      <protection locked="0"/>
    </xf>
    <xf numFmtId="0" fontId="0" fillId="9" borderId="23" xfId="0" applyFill="1" applyBorder="1" applyAlignment="1" applyProtection="1">
      <alignment horizontal="center" vertical="center"/>
      <protection locked="0"/>
    </xf>
    <xf numFmtId="0" fontId="0" fillId="9" borderId="3" xfId="0" applyFill="1" applyBorder="1" applyAlignment="1" applyProtection="1">
      <alignment horizontal="center" vertical="center"/>
      <protection locked="0"/>
    </xf>
    <xf numFmtId="1" fontId="0" fillId="9" borderId="5" xfId="0" applyNumberFormat="1" applyFill="1" applyBorder="1" applyAlignment="1" applyProtection="1">
      <alignment horizontal="center" vertical="center"/>
      <protection locked="0"/>
    </xf>
    <xf numFmtId="164" fontId="0" fillId="9" borderId="30" xfId="0" applyNumberFormat="1" applyFill="1" applyBorder="1" applyAlignment="1" applyProtection="1">
      <alignment horizontal="center" vertical="center"/>
      <protection locked="0"/>
    </xf>
    <xf numFmtId="1" fontId="0" fillId="9" borderId="3" xfId="0" applyNumberFormat="1" applyFill="1" applyBorder="1" applyAlignment="1" applyProtection="1">
      <alignment horizontal="center" vertical="center"/>
      <protection locked="0"/>
    </xf>
    <xf numFmtId="1" fontId="2" fillId="9" borderId="3" xfId="0" applyNumberFormat="1" applyFont="1" applyFill="1" applyBorder="1" applyAlignment="1" applyProtection="1">
      <alignment horizontal="center" vertical="center"/>
      <protection locked="0"/>
    </xf>
    <xf numFmtId="0" fontId="0" fillId="9" borderId="37" xfId="0" applyFont="1" applyFill="1" applyBorder="1" applyAlignment="1" applyProtection="1">
      <alignment horizontal="center" vertical="center" wrapText="1"/>
      <protection locked="0"/>
    </xf>
    <xf numFmtId="0" fontId="0" fillId="9" borderId="45" xfId="0" applyFill="1" applyBorder="1" applyAlignment="1" applyProtection="1">
      <alignment horizontal="center" vertical="center" wrapText="1"/>
      <protection locked="0"/>
    </xf>
    <xf numFmtId="0" fontId="0" fillId="9" borderId="1" xfId="0" applyFill="1" applyBorder="1" applyAlignment="1" applyProtection="1">
      <alignment horizontal="center"/>
      <protection locked="0"/>
    </xf>
    <xf numFmtId="0" fontId="0" fillId="9" borderId="3" xfId="0" applyFill="1" applyBorder="1" applyAlignment="1" applyProtection="1">
      <alignment horizontal="center"/>
      <protection locked="0"/>
    </xf>
    <xf numFmtId="0" fontId="0" fillId="10" borderId="0" xfId="0" applyFill="1"/>
    <xf numFmtId="0" fontId="10" fillId="10" borderId="0" xfId="0" applyFont="1" applyFill="1"/>
    <xf numFmtId="0" fontId="0" fillId="10" borderId="0" xfId="0" applyFill="1" applyAlignment="1">
      <alignment horizontal="right" vertical="top"/>
    </xf>
    <xf numFmtId="1" fontId="1" fillId="11" borderId="152" xfId="0" applyNumberFormat="1" applyFont="1" applyFill="1" applyBorder="1" applyAlignment="1">
      <alignment horizontal="center" vertical="center" wrapText="1"/>
    </xf>
    <xf numFmtId="1" fontId="1" fillId="4" borderId="153" xfId="0" applyNumberFormat="1" applyFont="1" applyFill="1" applyBorder="1" applyAlignment="1">
      <alignment horizontal="center" vertical="center" wrapText="1"/>
    </xf>
    <xf numFmtId="1" fontId="1" fillId="10" borderId="18" xfId="0" applyNumberFormat="1" applyFont="1" applyFill="1" applyBorder="1" applyAlignment="1">
      <alignment horizontal="center" vertical="center" wrapText="1"/>
    </xf>
    <xf numFmtId="1" fontId="1" fillId="10" borderId="56" xfId="0" applyNumberFormat="1" applyFont="1" applyFill="1" applyBorder="1" applyAlignment="1">
      <alignment horizontal="center" vertical="center" wrapText="1"/>
    </xf>
    <xf numFmtId="1" fontId="1" fillId="11" borderId="59" xfId="0" applyNumberFormat="1" applyFont="1" applyFill="1" applyBorder="1" applyAlignment="1">
      <alignment horizontal="center" vertical="center" wrapText="1"/>
    </xf>
    <xf numFmtId="1" fontId="1" fillId="11" borderId="57" xfId="0" applyNumberFormat="1" applyFont="1" applyFill="1" applyBorder="1" applyAlignment="1">
      <alignment horizontal="center" vertical="center" wrapText="1"/>
    </xf>
    <xf numFmtId="1" fontId="1" fillId="10" borderId="140" xfId="0" applyNumberFormat="1" applyFont="1" applyFill="1" applyBorder="1" applyAlignment="1">
      <alignment horizontal="center" vertical="center" wrapText="1"/>
    </xf>
    <xf numFmtId="1" fontId="1" fillId="4" borderId="60" xfId="0" applyNumberFormat="1" applyFont="1" applyFill="1" applyBorder="1" applyAlignment="1">
      <alignment horizontal="center" vertical="center" wrapText="1"/>
    </xf>
    <xf numFmtId="1" fontId="1" fillId="4" borderId="58" xfId="0" applyNumberFormat="1" applyFont="1" applyFill="1" applyBorder="1" applyAlignment="1">
      <alignment horizontal="center" vertical="center" wrapText="1"/>
    </xf>
    <xf numFmtId="0" fontId="4" fillId="8" borderId="0" xfId="0" applyFont="1" applyFill="1"/>
    <xf numFmtId="1" fontId="5" fillId="10" borderId="18" xfId="0" applyNumberFormat="1" applyFont="1" applyFill="1" applyBorder="1" applyAlignment="1">
      <alignment horizontal="center" vertical="center" wrapText="1"/>
    </xf>
    <xf numFmtId="0" fontId="10" fillId="10" borderId="0" xfId="0" applyFont="1" applyFill="1" applyAlignment="1">
      <alignment vertical="center"/>
    </xf>
    <xf numFmtId="0" fontId="21" fillId="8" borderId="0" xfId="0" applyFont="1" applyFill="1" applyAlignment="1">
      <alignment vertical="center"/>
    </xf>
    <xf numFmtId="164" fontId="1" fillId="10" borderId="180" xfId="0" applyNumberFormat="1" applyFont="1" applyFill="1" applyBorder="1" applyAlignment="1">
      <alignment horizontal="center" vertical="center" wrapText="1"/>
    </xf>
    <xf numFmtId="164" fontId="0" fillId="10" borderId="181" xfId="0" applyNumberFormat="1" applyFill="1" applyBorder="1" applyAlignment="1">
      <alignment horizontal="center" vertical="center" wrapText="1"/>
    </xf>
    <xf numFmtId="164" fontId="0" fillId="10" borderId="182" xfId="0" applyNumberFormat="1" applyFill="1" applyBorder="1" applyAlignment="1">
      <alignment horizontal="center" vertical="center" wrapText="1"/>
    </xf>
    <xf numFmtId="164" fontId="1" fillId="11" borderId="180" xfId="0" applyNumberFormat="1" applyFont="1" applyFill="1" applyBorder="1" applyAlignment="1">
      <alignment horizontal="center" vertical="center" wrapText="1"/>
    </xf>
    <xf numFmtId="164" fontId="0" fillId="11" borderId="181" xfId="0" applyNumberFormat="1" applyFill="1" applyBorder="1" applyAlignment="1">
      <alignment horizontal="center" vertical="center" wrapText="1"/>
    </xf>
    <xf numFmtId="164" fontId="0" fillId="11" borderId="182" xfId="0" applyNumberFormat="1" applyFill="1" applyBorder="1" applyAlignment="1">
      <alignment horizontal="center" vertical="center" wrapText="1"/>
    </xf>
    <xf numFmtId="164" fontId="1" fillId="4" borderId="180" xfId="0" applyNumberFormat="1" applyFont="1" applyFill="1" applyBorder="1" applyAlignment="1">
      <alignment horizontal="center" vertical="center" wrapText="1"/>
    </xf>
    <xf numFmtId="164" fontId="0" fillId="4" borderId="181" xfId="0" applyNumberFormat="1" applyFill="1" applyBorder="1" applyAlignment="1">
      <alignment horizontal="center" vertical="center" wrapText="1"/>
    </xf>
    <xf numFmtId="164" fontId="0" fillId="4" borderId="182" xfId="0" applyNumberFormat="1" applyFill="1" applyBorder="1" applyAlignment="1">
      <alignment horizontal="center" vertical="center" wrapText="1"/>
    </xf>
    <xf numFmtId="164" fontId="1" fillId="10" borderId="140" xfId="0" applyNumberFormat="1" applyFont="1" applyFill="1" applyBorder="1" applyAlignment="1">
      <alignment horizontal="center" vertical="center" wrapText="1"/>
    </xf>
    <xf numFmtId="164" fontId="0" fillId="10" borderId="152" xfId="0" applyNumberFormat="1" applyFill="1" applyBorder="1" applyAlignment="1">
      <alignment horizontal="center" vertical="center" wrapText="1"/>
    </xf>
    <xf numFmtId="164" fontId="0" fillId="10" borderId="153" xfId="0" applyNumberFormat="1" applyFill="1" applyBorder="1" applyAlignment="1">
      <alignment horizontal="center" vertical="center" wrapText="1"/>
    </xf>
    <xf numFmtId="164" fontId="1" fillId="11" borderId="140" xfId="0" applyNumberFormat="1" applyFont="1" applyFill="1" applyBorder="1" applyAlignment="1">
      <alignment horizontal="center" vertical="center" wrapText="1"/>
    </xf>
    <xf numFmtId="164" fontId="0" fillId="11" borderId="152" xfId="0" applyNumberFormat="1" applyFill="1" applyBorder="1" applyAlignment="1">
      <alignment horizontal="center" vertical="center" wrapText="1"/>
    </xf>
    <xf numFmtId="164" fontId="0" fillId="11" borderId="153" xfId="0" applyNumberFormat="1" applyFill="1" applyBorder="1" applyAlignment="1">
      <alignment horizontal="center" vertical="center" wrapText="1"/>
    </xf>
    <xf numFmtId="164" fontId="1" fillId="4" borderId="140" xfId="0" applyNumberFormat="1" applyFont="1" applyFill="1" applyBorder="1" applyAlignment="1">
      <alignment horizontal="center" vertical="center" wrapText="1"/>
    </xf>
    <xf numFmtId="164" fontId="0" fillId="4" borderId="152" xfId="0" applyNumberFormat="1" applyFill="1" applyBorder="1" applyAlignment="1">
      <alignment horizontal="center" vertical="center" wrapText="1"/>
    </xf>
    <xf numFmtId="164" fontId="0" fillId="4" borderId="153" xfId="0" applyNumberFormat="1" applyFill="1" applyBorder="1" applyAlignment="1">
      <alignment horizontal="center" vertical="center" wrapText="1"/>
    </xf>
    <xf numFmtId="164" fontId="1" fillId="10" borderId="18" xfId="0" applyNumberFormat="1" applyFont="1" applyFill="1" applyBorder="1" applyAlignment="1">
      <alignment horizontal="center" vertical="center" wrapText="1"/>
    </xf>
    <xf numFmtId="164" fontId="1" fillId="11" borderId="59" xfId="0" applyNumberFormat="1" applyFont="1" applyFill="1" applyBorder="1" applyAlignment="1">
      <alignment horizontal="center" vertical="center" wrapText="1"/>
    </xf>
    <xf numFmtId="164" fontId="1" fillId="4" borderId="60" xfId="0" applyNumberFormat="1" applyFont="1" applyFill="1" applyBorder="1" applyAlignment="1">
      <alignment horizontal="center" vertical="center" wrapText="1"/>
    </xf>
    <xf numFmtId="0" fontId="9" fillId="8" borderId="0" xfId="0" applyFont="1" applyFill="1" applyAlignment="1">
      <alignment horizontal="center" vertical="center"/>
    </xf>
    <xf numFmtId="0" fontId="4" fillId="8" borderId="0" xfId="0" applyFont="1" applyFill="1" applyAlignment="1">
      <alignment vertical="top"/>
    </xf>
    <xf numFmtId="0" fontId="0" fillId="8" borderId="0" xfId="0" applyFill="1" applyAlignment="1">
      <alignment horizontal="center"/>
    </xf>
    <xf numFmtId="0" fontId="8" fillId="8" borderId="4" xfId="0" applyFont="1" applyFill="1" applyBorder="1" applyAlignment="1">
      <alignment horizontal="center" vertical="center"/>
    </xf>
    <xf numFmtId="0" fontId="8" fillId="8" borderId="0" xfId="0" applyFont="1" applyFill="1" applyBorder="1" applyAlignment="1">
      <alignment horizontal="center" vertical="center"/>
    </xf>
    <xf numFmtId="9" fontId="8" fillId="8" borderId="0" xfId="1" applyFont="1" applyFill="1" applyBorder="1" applyAlignment="1" applyProtection="1">
      <alignment horizontal="center" vertical="center"/>
    </xf>
    <xf numFmtId="9" fontId="29" fillId="8" borderId="0" xfId="1" applyFont="1" applyFill="1" applyBorder="1" applyAlignment="1" applyProtection="1">
      <alignment horizontal="center" vertical="center"/>
    </xf>
    <xf numFmtId="0" fontId="10" fillId="8" borderId="0" xfId="0" applyFont="1" applyFill="1" applyAlignment="1">
      <alignment horizontal="center"/>
    </xf>
    <xf numFmtId="0" fontId="10" fillId="8" borderId="0" xfId="0" applyFont="1" applyFill="1"/>
    <xf numFmtId="0" fontId="0" fillId="8" borderId="0" xfId="0" applyFill="1" applyAlignment="1">
      <alignment horizontal="right" vertical="top"/>
    </xf>
    <xf numFmtId="0" fontId="0" fillId="8" borderId="0" xfId="0" applyFill="1" applyProtection="1"/>
    <xf numFmtId="0" fontId="18" fillId="8" borderId="0" xfId="0" applyFont="1" applyFill="1" applyAlignment="1" applyProtection="1">
      <alignment vertical="center" wrapText="1"/>
    </xf>
    <xf numFmtId="0" fontId="0" fillId="8" borderId="0" xfId="0" applyFill="1" applyBorder="1" applyProtection="1"/>
    <xf numFmtId="0" fontId="10" fillId="8" borderId="0" xfId="0" applyFont="1" applyFill="1" applyAlignment="1" applyProtection="1">
      <alignment vertical="center" wrapText="1"/>
    </xf>
    <xf numFmtId="0" fontId="13" fillId="8" borderId="0" xfId="0" applyFont="1" applyFill="1" applyAlignment="1" applyProtection="1">
      <alignment vertical="center" wrapText="1"/>
    </xf>
    <xf numFmtId="0" fontId="18" fillId="8" borderId="0" xfId="0" applyFont="1" applyFill="1" applyBorder="1" applyAlignment="1" applyProtection="1">
      <alignment vertical="center" wrapText="1"/>
    </xf>
    <xf numFmtId="0" fontId="17" fillId="8" borderId="0" xfId="0" applyFont="1" applyFill="1" applyBorder="1" applyAlignment="1" applyProtection="1">
      <alignment vertical="center" wrapText="1"/>
    </xf>
    <xf numFmtId="0" fontId="17" fillId="8" borderId="0" xfId="0" applyFont="1" applyFill="1" applyAlignment="1" applyProtection="1">
      <alignment vertical="center" wrapText="1"/>
    </xf>
    <xf numFmtId="0" fontId="0" fillId="5" borderId="0" xfId="0" applyFill="1" applyProtection="1"/>
    <xf numFmtId="0" fontId="10" fillId="5" borderId="0" xfId="0" applyFont="1" applyFill="1" applyProtection="1"/>
    <xf numFmtId="0" fontId="0" fillId="5" borderId="0" xfId="0" applyFill="1" applyAlignment="1" applyProtection="1">
      <alignment horizontal="right" vertical="top"/>
    </xf>
    <xf numFmtId="0" fontId="0" fillId="8" borderId="0" xfId="0" applyFill="1" applyAlignment="1" applyProtection="1">
      <alignment horizontal="left"/>
    </xf>
    <xf numFmtId="0" fontId="1" fillId="8" borderId="0" xfId="0" applyFont="1" applyFill="1" applyProtection="1"/>
    <xf numFmtId="0" fontId="0" fillId="5" borderId="0" xfId="0" applyFill="1" applyAlignment="1" applyProtection="1">
      <alignment vertical="center"/>
    </xf>
    <xf numFmtId="0" fontId="0" fillId="8" borderId="0" xfId="0" quotePrefix="1" applyFill="1" applyAlignment="1" applyProtection="1">
      <alignment horizontal="center"/>
    </xf>
    <xf numFmtId="0" fontId="0" fillId="9" borderId="0" xfId="0" applyFill="1" applyAlignment="1" applyProtection="1">
      <alignment vertical="center"/>
    </xf>
    <xf numFmtId="0" fontId="9" fillId="8" borderId="0" xfId="0" applyFont="1" applyFill="1" applyAlignment="1" applyProtection="1">
      <alignment wrapText="1"/>
    </xf>
    <xf numFmtId="0" fontId="0" fillId="8" borderId="0" xfId="0" applyFill="1" applyAlignment="1" applyProtection="1">
      <alignment horizontal="right"/>
    </xf>
    <xf numFmtId="0" fontId="4" fillId="8" borderId="0" xfId="0" applyFont="1" applyFill="1" applyAlignment="1" applyProtection="1">
      <alignment horizontal="left"/>
    </xf>
    <xf numFmtId="0" fontId="2" fillId="8" borderId="0" xfId="0" applyFont="1" applyFill="1" applyAlignment="1" applyProtection="1">
      <alignment horizontal="left"/>
    </xf>
    <xf numFmtId="0" fontId="2" fillId="8" borderId="0" xfId="0" applyFont="1" applyFill="1" applyAlignment="1" applyProtection="1">
      <alignment horizontal="left" wrapText="1"/>
    </xf>
    <xf numFmtId="0" fontId="2" fillId="8" borderId="0" xfId="0" quotePrefix="1" applyFont="1" applyFill="1" applyAlignment="1" applyProtection="1">
      <alignment horizontal="center" vertical="center"/>
    </xf>
    <xf numFmtId="0" fontId="0" fillId="8" borderId="0" xfId="0" applyFill="1" applyAlignment="1" applyProtection="1"/>
    <xf numFmtId="0" fontId="0" fillId="8" borderId="0" xfId="0" applyFill="1" applyAlignment="1" applyProtection="1">
      <alignment vertical="center" wrapText="1"/>
    </xf>
    <xf numFmtId="0" fontId="0" fillId="12" borderId="0" xfId="0" applyFill="1" applyBorder="1" applyAlignment="1" applyProtection="1">
      <alignment horizontal="center"/>
    </xf>
    <xf numFmtId="0" fontId="0" fillId="12" borderId="0" xfId="0" applyFill="1" applyAlignment="1" applyProtection="1">
      <alignment horizontal="center"/>
    </xf>
    <xf numFmtId="0" fontId="0" fillId="12" borderId="0" xfId="0" applyFill="1" applyProtection="1"/>
    <xf numFmtId="0" fontId="0" fillId="12" borderId="0" xfId="0" applyFill="1" applyAlignment="1" applyProtection="1">
      <alignment vertical="center" wrapText="1"/>
    </xf>
    <xf numFmtId="0" fontId="0" fillId="8" borderId="0" xfId="0" applyFill="1" applyAlignment="1" applyProtection="1">
      <alignment horizontal="center" vertical="center" wrapText="1"/>
    </xf>
    <xf numFmtId="0" fontId="1" fillId="0" borderId="0" xfId="0" applyFont="1" applyAlignment="1" applyProtection="1">
      <alignment horizontal="center" vertical="center" wrapText="1"/>
    </xf>
    <xf numFmtId="0" fontId="0" fillId="0" borderId="0" xfId="0" applyAlignment="1" applyProtection="1">
      <alignment horizontal="center" vertical="center" wrapText="1"/>
    </xf>
    <xf numFmtId="0" fontId="0" fillId="8" borderId="0" xfId="0" applyFill="1" applyBorder="1" applyAlignment="1" applyProtection="1">
      <alignment horizontal="center" vertical="center" wrapText="1"/>
    </xf>
    <xf numFmtId="0" fontId="0" fillId="12" borderId="0" xfId="0" applyFill="1" applyBorder="1" applyAlignment="1" applyProtection="1">
      <alignment vertical="center" wrapText="1"/>
    </xf>
    <xf numFmtId="0" fontId="1" fillId="0" borderId="10" xfId="0" applyFont="1" applyBorder="1" applyAlignment="1" applyProtection="1">
      <alignment vertical="center" wrapText="1"/>
    </xf>
    <xf numFmtId="0" fontId="1" fillId="0" borderId="0" xfId="0" applyFont="1" applyAlignment="1" applyProtection="1">
      <alignment vertical="center" wrapText="1"/>
    </xf>
    <xf numFmtId="0" fontId="0" fillId="0" borderId="0" xfId="0" applyAlignment="1" applyProtection="1">
      <alignment horizontal="left" vertical="center" wrapText="1"/>
    </xf>
    <xf numFmtId="0" fontId="0" fillId="0" borderId="61" xfId="0" applyFill="1" applyBorder="1" applyAlignment="1" applyProtection="1">
      <alignment vertical="center" wrapText="1"/>
    </xf>
    <xf numFmtId="0" fontId="0" fillId="0" borderId="162" xfId="0" applyFill="1" applyBorder="1" applyAlignment="1" applyProtection="1">
      <alignment vertical="center" wrapText="1"/>
    </xf>
    <xf numFmtId="0" fontId="0" fillId="0" borderId="62" xfId="0" applyFill="1" applyBorder="1" applyAlignment="1" applyProtection="1">
      <alignment vertical="center" wrapText="1"/>
    </xf>
    <xf numFmtId="0" fontId="0" fillId="0" borderId="0" xfId="0" applyFill="1" applyAlignment="1" applyProtection="1">
      <alignment vertical="center" wrapText="1"/>
    </xf>
    <xf numFmtId="0" fontId="0" fillId="2" borderId="0" xfId="0" applyFill="1" applyAlignment="1" applyProtection="1">
      <alignment vertical="center" wrapText="1"/>
    </xf>
    <xf numFmtId="0" fontId="1" fillId="8" borderId="0" xfId="0" applyFont="1" applyFill="1" applyBorder="1" applyAlignment="1" applyProtection="1">
      <alignment horizontal="center" vertical="center" wrapText="1"/>
    </xf>
    <xf numFmtId="0" fontId="0" fillId="0" borderId="63" xfId="0" applyFill="1" applyBorder="1" applyProtection="1"/>
    <xf numFmtId="0" fontId="0" fillId="0" borderId="0" xfId="0" applyFill="1" applyBorder="1" applyProtection="1"/>
    <xf numFmtId="0" fontId="0" fillId="0" borderId="64" xfId="0" applyFill="1" applyBorder="1" applyProtection="1"/>
    <xf numFmtId="0" fontId="0" fillId="0" borderId="0" xfId="0" applyFill="1" applyProtection="1"/>
    <xf numFmtId="0" fontId="7" fillId="8" borderId="128" xfId="0" applyFont="1" applyFill="1" applyBorder="1" applyAlignment="1" applyProtection="1">
      <alignment horizontal="center" vertical="center"/>
    </xf>
    <xf numFmtId="0" fontId="7" fillId="8" borderId="129" xfId="0" applyFont="1" applyFill="1" applyBorder="1" applyAlignment="1" applyProtection="1">
      <alignment horizontal="center" vertical="center"/>
    </xf>
    <xf numFmtId="0" fontId="7" fillId="8" borderId="126" xfId="0" applyFont="1" applyFill="1" applyBorder="1" applyAlignment="1" applyProtection="1">
      <alignment horizontal="center" vertical="center"/>
    </xf>
    <xf numFmtId="0" fontId="7" fillId="8" borderId="130" xfId="0" applyFont="1" applyFill="1" applyBorder="1" applyAlignment="1" applyProtection="1">
      <alignment horizontal="center" vertical="center"/>
    </xf>
    <xf numFmtId="0" fontId="7" fillId="8" borderId="127" xfId="0" applyFont="1" applyFill="1" applyBorder="1" applyAlignment="1" applyProtection="1">
      <alignment horizontal="center" vertical="center"/>
    </xf>
    <xf numFmtId="0" fontId="14" fillId="0" borderId="153" xfId="0" applyFont="1" applyBorder="1" applyAlignment="1" applyProtection="1">
      <alignment horizontal="center" vertical="center" wrapText="1"/>
    </xf>
    <xf numFmtId="0" fontId="7" fillId="8" borderId="141" xfId="0" applyFont="1" applyFill="1" applyBorder="1" applyAlignment="1" applyProtection="1">
      <alignment horizontal="center" vertical="center"/>
    </xf>
    <xf numFmtId="0" fontId="7" fillId="0" borderId="0" xfId="0" applyFont="1" applyAlignment="1" applyProtection="1">
      <alignment horizontal="center" vertical="center" wrapText="1"/>
    </xf>
    <xf numFmtId="1" fontId="7" fillId="0" borderId="126" xfId="0" applyNumberFormat="1" applyFont="1" applyBorder="1" applyAlignment="1" applyProtection="1">
      <alignment horizontal="center" vertical="center" wrapText="1"/>
    </xf>
    <xf numFmtId="1" fontId="7" fillId="0" borderId="145" xfId="0" applyNumberFormat="1" applyFont="1" applyBorder="1" applyAlignment="1" applyProtection="1">
      <alignment horizontal="center" vertical="center" wrapText="1"/>
    </xf>
    <xf numFmtId="1" fontId="7" fillId="0" borderId="127" xfId="0" applyNumberFormat="1" applyFont="1" applyBorder="1" applyAlignment="1" applyProtection="1">
      <alignment horizontal="center" vertical="center" wrapText="1"/>
    </xf>
    <xf numFmtId="0" fontId="0" fillId="0" borderId="65" xfId="0" applyFill="1" applyBorder="1" applyProtection="1"/>
    <xf numFmtId="0" fontId="0" fillId="0" borderId="13" xfId="0" applyFill="1" applyBorder="1" applyAlignment="1" applyProtection="1">
      <alignment vertical="center" wrapText="1"/>
    </xf>
    <xf numFmtId="0" fontId="0" fillId="0" borderId="66" xfId="0" applyFill="1" applyBorder="1" applyProtection="1"/>
    <xf numFmtId="0" fontId="1" fillId="0" borderId="131" xfId="0" applyFont="1" applyBorder="1" applyAlignment="1" applyProtection="1">
      <alignment horizontal="center" vertical="center" wrapText="1"/>
    </xf>
    <xf numFmtId="0" fontId="0" fillId="0" borderId="131" xfId="0" applyBorder="1" applyProtection="1"/>
    <xf numFmtId="1" fontId="0" fillId="10" borderId="134" xfId="0" applyNumberFormat="1" applyFill="1" applyBorder="1" applyAlignment="1" applyProtection="1">
      <alignment horizontal="center" vertical="center" wrapText="1"/>
    </xf>
    <xf numFmtId="1" fontId="0" fillId="11" borderId="142" xfId="0" applyNumberFormat="1" applyFill="1" applyBorder="1" applyAlignment="1" applyProtection="1">
      <alignment horizontal="center" vertical="center" wrapText="1"/>
    </xf>
    <xf numFmtId="1" fontId="0" fillId="4" borderId="136" xfId="0" applyNumberFormat="1" applyFill="1" applyBorder="1" applyAlignment="1" applyProtection="1">
      <alignment horizontal="center" vertical="center" wrapText="1"/>
    </xf>
    <xf numFmtId="0" fontId="0" fillId="8" borderId="63" xfId="0" applyFill="1" applyBorder="1" applyAlignment="1" applyProtection="1">
      <alignment horizontal="left"/>
    </xf>
    <xf numFmtId="0" fontId="0" fillId="0" borderId="154" xfId="0" applyFill="1" applyBorder="1" applyAlignment="1" applyProtection="1">
      <alignment horizontal="right"/>
    </xf>
    <xf numFmtId="1" fontId="0" fillId="0" borderId="61" xfId="0" applyNumberFormat="1" applyFill="1" applyBorder="1" applyProtection="1"/>
    <xf numFmtId="1" fontId="0" fillId="0" borderId="162" xfId="0" applyNumberFormat="1" applyFill="1" applyBorder="1" applyProtection="1"/>
    <xf numFmtId="1" fontId="0" fillId="0" borderId="62" xfId="0" applyNumberFormat="1" applyFill="1" applyBorder="1" applyProtection="1"/>
    <xf numFmtId="0" fontId="0" fillId="0" borderId="112" xfId="0" applyBorder="1" applyProtection="1"/>
    <xf numFmtId="1" fontId="0" fillId="10" borderId="137" xfId="0" applyNumberFormat="1" applyFill="1" applyBorder="1" applyAlignment="1" applyProtection="1">
      <alignment horizontal="center" vertical="center" wrapText="1"/>
    </xf>
    <xf numFmtId="1" fontId="0" fillId="11" borderId="138" xfId="0" applyNumberFormat="1" applyFill="1" applyBorder="1" applyAlignment="1" applyProtection="1">
      <alignment horizontal="center" vertical="center" wrapText="1"/>
    </xf>
    <xf numFmtId="1" fontId="0" fillId="4" borderId="139" xfId="0" applyNumberFormat="1" applyFill="1" applyBorder="1" applyAlignment="1" applyProtection="1">
      <alignment horizontal="center" vertical="center" wrapText="1"/>
    </xf>
    <xf numFmtId="0" fontId="0" fillId="0" borderId="104" xfId="0" applyFill="1" applyBorder="1" applyAlignment="1" applyProtection="1">
      <alignment horizontal="right"/>
    </xf>
    <xf numFmtId="1" fontId="0" fillId="0" borderId="63" xfId="0" applyNumberFormat="1" applyFill="1" applyBorder="1" applyProtection="1"/>
    <xf numFmtId="1" fontId="0" fillId="0" borderId="0" xfId="0" applyNumberFormat="1" applyFill="1" applyBorder="1" applyProtection="1"/>
    <xf numFmtId="1" fontId="0" fillId="0" borderId="64" xfId="0" applyNumberFormat="1" applyFill="1" applyBorder="1" applyProtection="1"/>
    <xf numFmtId="0" fontId="0" fillId="0" borderId="27" xfId="0" applyBorder="1" applyProtection="1"/>
    <xf numFmtId="1" fontId="0" fillId="10" borderId="74" xfId="0" applyNumberFormat="1" applyFill="1" applyBorder="1" applyAlignment="1" applyProtection="1">
      <alignment horizontal="center" vertical="center" wrapText="1"/>
    </xf>
    <xf numFmtId="1" fontId="0" fillId="11" borderId="68" xfId="0" applyNumberFormat="1" applyFill="1" applyBorder="1" applyAlignment="1" applyProtection="1">
      <alignment horizontal="center" vertical="center" wrapText="1"/>
    </xf>
    <xf numFmtId="1" fontId="0" fillId="4" borderId="78" xfId="0" applyNumberFormat="1" applyFill="1" applyBorder="1" applyAlignment="1" applyProtection="1">
      <alignment horizontal="center" vertical="center" wrapText="1"/>
    </xf>
    <xf numFmtId="0" fontId="0" fillId="0" borderId="104" xfId="0" applyFill="1" applyBorder="1" applyAlignment="1" applyProtection="1">
      <alignment horizontal="right" indent="1"/>
    </xf>
    <xf numFmtId="1" fontId="0" fillId="12" borderId="0" xfId="0" applyNumberFormat="1" applyFill="1" applyBorder="1" applyAlignment="1" applyProtection="1">
      <alignment horizontal="center" vertical="center" wrapText="1"/>
    </xf>
    <xf numFmtId="0" fontId="0" fillId="0" borderId="118" xfId="0" applyBorder="1" applyProtection="1"/>
    <xf numFmtId="1" fontId="0" fillId="10" borderId="150" xfId="0" applyNumberFormat="1" applyFill="1" applyBorder="1" applyAlignment="1" applyProtection="1">
      <alignment horizontal="center" vertical="center" wrapText="1"/>
    </xf>
    <xf numFmtId="1" fontId="0" fillId="11" borderId="143" xfId="0" applyNumberFormat="1" applyFill="1" applyBorder="1" applyAlignment="1" applyProtection="1">
      <alignment horizontal="center" vertical="center" wrapText="1"/>
    </xf>
    <xf numFmtId="1" fontId="0" fillId="4" borderId="144" xfId="0" applyNumberFormat="1" applyFill="1" applyBorder="1" applyAlignment="1" applyProtection="1">
      <alignment horizontal="center" vertical="center" wrapText="1"/>
    </xf>
    <xf numFmtId="0" fontId="30" fillId="12" borderId="0" xfId="0" applyFont="1" applyFill="1" applyBorder="1" applyAlignment="1" applyProtection="1">
      <alignment vertical="center" wrapText="1"/>
    </xf>
    <xf numFmtId="0" fontId="0" fillId="0" borderId="176" xfId="0" applyBorder="1" applyProtection="1"/>
    <xf numFmtId="0" fontId="0" fillId="3" borderId="147" xfId="0" applyFill="1" applyBorder="1" applyAlignment="1" applyProtection="1">
      <alignment horizontal="center" vertical="center"/>
    </xf>
    <xf numFmtId="0" fontId="0" fillId="3" borderId="146" xfId="0" applyFill="1" applyBorder="1" applyAlignment="1" applyProtection="1">
      <alignment horizontal="center" vertical="center"/>
    </xf>
    <xf numFmtId="0" fontId="0" fillId="3" borderId="148" xfId="0" applyFill="1" applyBorder="1" applyAlignment="1" applyProtection="1">
      <alignment horizontal="center" vertical="center"/>
    </xf>
    <xf numFmtId="0" fontId="0" fillId="3" borderId="33" xfId="0" applyFill="1" applyBorder="1" applyAlignment="1" applyProtection="1">
      <alignment horizontal="center" vertical="center"/>
    </xf>
    <xf numFmtId="0" fontId="0" fillId="3" borderId="29" xfId="0" applyFill="1" applyBorder="1" applyAlignment="1" applyProtection="1">
      <alignment horizontal="center" vertical="center"/>
    </xf>
    <xf numFmtId="0" fontId="0" fillId="3" borderId="46" xfId="0" applyFill="1" applyBorder="1" applyAlignment="1" applyProtection="1">
      <alignment horizontal="center" vertical="center"/>
    </xf>
    <xf numFmtId="0" fontId="0" fillId="0" borderId="59" xfId="0" applyFill="1" applyBorder="1" applyAlignment="1" applyProtection="1">
      <alignment horizontal="right"/>
    </xf>
    <xf numFmtId="1" fontId="0" fillId="0" borderId="65" xfId="0" applyNumberFormat="1" applyFill="1" applyBorder="1" applyProtection="1"/>
    <xf numFmtId="1" fontId="0" fillId="0" borderId="13" xfId="0" applyNumberFormat="1" applyFill="1" applyBorder="1" applyProtection="1"/>
    <xf numFmtId="1" fontId="0" fillId="0" borderId="66" xfId="0" applyNumberFormat="1" applyFill="1" applyBorder="1" applyProtection="1"/>
    <xf numFmtId="0" fontId="0" fillId="0" borderId="178" xfId="0" applyBorder="1" applyProtection="1"/>
    <xf numFmtId="0" fontId="0" fillId="3" borderId="167" xfId="0" applyFill="1" applyBorder="1" applyAlignment="1" applyProtection="1">
      <alignment horizontal="center" vertical="center"/>
    </xf>
    <xf numFmtId="0" fontId="0" fillId="3" borderId="110" xfId="0" applyFill="1" applyBorder="1" applyAlignment="1" applyProtection="1">
      <alignment horizontal="center" vertical="center"/>
    </xf>
    <xf numFmtId="0" fontId="0" fillId="3" borderId="168" xfId="0" applyFill="1" applyBorder="1" applyAlignment="1" applyProtection="1">
      <alignment horizontal="center" vertical="center"/>
    </xf>
    <xf numFmtId="0" fontId="0" fillId="0" borderId="124" xfId="0" applyBorder="1" applyProtection="1"/>
    <xf numFmtId="1" fontId="0" fillId="0" borderId="65" xfId="0" applyNumberFormat="1" applyFill="1" applyBorder="1" applyAlignment="1" applyProtection="1">
      <alignment vertical="center" wrapText="1"/>
    </xf>
    <xf numFmtId="1" fontId="0" fillId="0" borderId="13" xfId="0" applyNumberFormat="1" applyFill="1" applyBorder="1" applyAlignment="1" applyProtection="1">
      <alignment vertical="center" wrapText="1"/>
    </xf>
    <xf numFmtId="1" fontId="0" fillId="0" borderId="66" xfId="0" applyNumberFormat="1" applyFill="1" applyBorder="1" applyAlignment="1" applyProtection="1">
      <alignment vertical="center" wrapText="1"/>
    </xf>
    <xf numFmtId="0" fontId="0" fillId="0" borderId="165" xfId="0" applyBorder="1" applyProtection="1"/>
    <xf numFmtId="0" fontId="0" fillId="0" borderId="154" xfId="0" applyFill="1" applyBorder="1" applyProtection="1"/>
    <xf numFmtId="0" fontId="0" fillId="3" borderId="34" xfId="0" applyFill="1" applyBorder="1" applyAlignment="1" applyProtection="1">
      <alignment horizontal="center" vertical="center"/>
    </xf>
    <xf numFmtId="0" fontId="0" fillId="3" borderId="12" xfId="0" applyFill="1" applyBorder="1" applyAlignment="1" applyProtection="1">
      <alignment horizontal="center" vertical="center"/>
    </xf>
    <xf numFmtId="0" fontId="0" fillId="3" borderId="47" xfId="0" applyFill="1" applyBorder="1" applyAlignment="1" applyProtection="1">
      <alignment horizontal="center" vertical="center"/>
    </xf>
    <xf numFmtId="1" fontId="0" fillId="10" borderId="12" xfId="0" applyNumberFormat="1" applyFill="1" applyBorder="1" applyAlignment="1" applyProtection="1">
      <alignment horizontal="center" vertical="center" wrapText="1"/>
    </xf>
    <xf numFmtId="1" fontId="0" fillId="11" borderId="81" xfId="0" applyNumberFormat="1" applyFill="1" applyBorder="1" applyAlignment="1" applyProtection="1">
      <alignment horizontal="center" vertical="center" wrapText="1"/>
    </xf>
    <xf numFmtId="1" fontId="0" fillId="4" borderId="14" xfId="0" applyNumberFormat="1" applyFill="1" applyBorder="1" applyAlignment="1" applyProtection="1">
      <alignment horizontal="center" vertical="center" wrapText="1"/>
    </xf>
    <xf numFmtId="0" fontId="0" fillId="0" borderId="104" xfId="0" applyFill="1" applyBorder="1" applyProtection="1"/>
    <xf numFmtId="0" fontId="0" fillId="3" borderId="34" xfId="0" applyFill="1" applyBorder="1" applyAlignment="1" applyProtection="1">
      <alignment horizontal="center" vertical="center" wrapText="1"/>
    </xf>
    <xf numFmtId="0" fontId="0" fillId="3" borderId="12" xfId="0" applyFill="1" applyBorder="1" applyAlignment="1" applyProtection="1">
      <alignment horizontal="center" vertical="center" wrapText="1"/>
    </xf>
    <xf numFmtId="0" fontId="0" fillId="3" borderId="14" xfId="0" applyFill="1" applyBorder="1" applyAlignment="1" applyProtection="1">
      <alignment horizontal="center" vertical="center" wrapText="1"/>
    </xf>
    <xf numFmtId="0" fontId="26" fillId="0" borderId="0" xfId="0" applyFont="1" applyAlignment="1" applyProtection="1">
      <alignment horizontal="center" vertical="center" wrapText="1"/>
    </xf>
    <xf numFmtId="1" fontId="2" fillId="10" borderId="12" xfId="0" applyNumberFormat="1" applyFont="1" applyFill="1" applyBorder="1" applyAlignment="1" applyProtection="1">
      <alignment horizontal="center" vertical="center" wrapText="1"/>
    </xf>
    <xf numFmtId="1" fontId="2" fillId="11" borderId="81" xfId="0" applyNumberFormat="1" applyFont="1" applyFill="1" applyBorder="1" applyAlignment="1" applyProtection="1">
      <alignment horizontal="center" vertical="center" wrapText="1"/>
    </xf>
    <xf numFmtId="1" fontId="2" fillId="4" borderId="14" xfId="0" applyNumberFormat="1" applyFont="1" applyFill="1" applyBorder="1" applyAlignment="1" applyProtection="1">
      <alignment horizontal="center" vertical="center" wrapText="1"/>
    </xf>
    <xf numFmtId="0" fontId="0" fillId="0" borderId="59" xfId="0" applyFill="1" applyBorder="1" applyProtection="1"/>
    <xf numFmtId="0" fontId="0" fillId="0" borderId="61" xfId="0" applyBorder="1" applyProtection="1"/>
    <xf numFmtId="1" fontId="0" fillId="10" borderId="76" xfId="0" applyNumberFormat="1" applyFill="1" applyBorder="1" applyAlignment="1" applyProtection="1">
      <alignment horizontal="center" vertical="center" wrapText="1"/>
    </xf>
    <xf numFmtId="1" fontId="0" fillId="11" borderId="70" xfId="0" applyNumberFormat="1" applyFill="1" applyBorder="1" applyAlignment="1" applyProtection="1">
      <alignment horizontal="center" vertical="center" wrapText="1"/>
    </xf>
    <xf numFmtId="1" fontId="0" fillId="4" borderId="80" xfId="0" applyNumberFormat="1" applyFill="1" applyBorder="1" applyAlignment="1" applyProtection="1">
      <alignment horizontal="center" vertical="center" wrapText="1"/>
    </xf>
    <xf numFmtId="0" fontId="0" fillId="0" borderId="63" xfId="0" applyBorder="1" applyProtection="1"/>
    <xf numFmtId="0" fontId="0" fillId="0" borderId="105" xfId="0" applyBorder="1" applyProtection="1"/>
    <xf numFmtId="0" fontId="0" fillId="3" borderId="36" xfId="0" applyFill="1" applyBorder="1" applyAlignment="1" applyProtection="1">
      <alignment horizontal="center" vertical="center"/>
    </xf>
    <xf numFmtId="0" fontId="0" fillId="3" borderId="9" xfId="0" applyFill="1" applyBorder="1" applyAlignment="1" applyProtection="1">
      <alignment horizontal="center" vertical="center"/>
    </xf>
    <xf numFmtId="0" fontId="0" fillId="3" borderId="49" xfId="0" applyFill="1" applyBorder="1" applyAlignment="1" applyProtection="1">
      <alignment horizontal="center" vertical="center"/>
    </xf>
    <xf numFmtId="1" fontId="0" fillId="10" borderId="83" xfId="0" applyNumberFormat="1" applyFill="1" applyBorder="1" applyAlignment="1" applyProtection="1">
      <alignment horizontal="center" vertical="center" wrapText="1"/>
    </xf>
    <xf numFmtId="1" fontId="0" fillId="11" borderId="71" xfId="0" applyNumberFormat="1" applyFill="1" applyBorder="1" applyAlignment="1" applyProtection="1">
      <alignment horizontal="center" vertical="center" wrapText="1"/>
    </xf>
    <xf numFmtId="1" fontId="0" fillId="4" borderId="84" xfId="0" applyNumberFormat="1" applyFill="1" applyBorder="1" applyAlignment="1" applyProtection="1">
      <alignment horizontal="center" vertical="center" wrapText="1"/>
    </xf>
    <xf numFmtId="0" fontId="0" fillId="6" borderId="0" xfId="0" applyFill="1" applyProtection="1"/>
    <xf numFmtId="0" fontId="11" fillId="6" borderId="6" xfId="0" applyFont="1" applyFill="1" applyBorder="1" applyAlignment="1" applyProtection="1"/>
    <xf numFmtId="0" fontId="0" fillId="6" borderId="0" xfId="0" applyFill="1" applyAlignment="1" applyProtection="1">
      <alignment horizontal="left" vertical="center"/>
    </xf>
    <xf numFmtId="0" fontId="0" fillId="6" borderId="0" xfId="0" applyFill="1" applyAlignment="1" applyProtection="1">
      <alignment horizontal="left" vertical="center" wrapText="1"/>
    </xf>
    <xf numFmtId="0" fontId="0" fillId="6" borderId="0" xfId="0" applyFill="1" applyAlignment="1" applyProtection="1">
      <alignment horizontal="center"/>
    </xf>
    <xf numFmtId="0" fontId="0" fillId="12" borderId="0" xfId="0" applyFill="1" applyBorder="1" applyAlignment="1" applyProtection="1">
      <alignment horizontal="center" vertical="center"/>
    </xf>
    <xf numFmtId="0" fontId="0" fillId="0" borderId="106" xfId="0" applyBorder="1" applyProtection="1"/>
    <xf numFmtId="0" fontId="0" fillId="3" borderId="5" xfId="0" applyFill="1" applyBorder="1" applyAlignment="1" applyProtection="1">
      <alignment horizontal="center" vertical="center"/>
    </xf>
    <xf numFmtId="0" fontId="0" fillId="3" borderId="8" xfId="0" applyFill="1" applyBorder="1" applyAlignment="1" applyProtection="1">
      <alignment horizontal="center" vertical="center"/>
    </xf>
    <xf numFmtId="0" fontId="0" fillId="3" borderId="50" xfId="0" applyFill="1" applyBorder="1" applyAlignment="1" applyProtection="1">
      <alignment horizontal="center" vertical="center"/>
    </xf>
    <xf numFmtId="1" fontId="0" fillId="10" borderId="73" xfId="0" applyNumberFormat="1" applyFill="1" applyBorder="1" applyAlignment="1" applyProtection="1">
      <alignment horizontal="center" vertical="center" wrapText="1"/>
    </xf>
    <xf numFmtId="1" fontId="0" fillId="11" borderId="67" xfId="0" applyNumberFormat="1" applyFill="1" applyBorder="1" applyAlignment="1" applyProtection="1">
      <alignment horizontal="center" vertical="center" wrapText="1"/>
    </xf>
    <xf numFmtId="1" fontId="0" fillId="4" borderId="77" xfId="0" applyNumberFormat="1" applyFill="1" applyBorder="1" applyAlignment="1" applyProtection="1">
      <alignment horizontal="center" vertical="center" wrapText="1"/>
    </xf>
    <xf numFmtId="0" fontId="0" fillId="0" borderId="63" xfId="0" applyBorder="1" applyAlignment="1" applyProtection="1">
      <alignment wrapText="1"/>
    </xf>
    <xf numFmtId="0" fontId="0" fillId="3" borderId="30" xfId="0" applyFill="1" applyBorder="1" applyAlignment="1" applyProtection="1">
      <alignment horizontal="center" vertical="center"/>
    </xf>
    <xf numFmtId="0" fontId="0" fillId="8" borderId="63" xfId="0" applyFill="1" applyBorder="1" applyAlignment="1" applyProtection="1">
      <alignment horizontal="left" vertical="center"/>
    </xf>
    <xf numFmtId="1" fontId="0" fillId="8" borderId="0" xfId="0" applyNumberFormat="1" applyFill="1" applyBorder="1" applyAlignment="1" applyProtection="1">
      <alignment horizontal="center" vertical="center" wrapText="1"/>
    </xf>
    <xf numFmtId="0" fontId="0" fillId="0" borderId="65" xfId="0" applyBorder="1" applyProtection="1"/>
    <xf numFmtId="0" fontId="0" fillId="3" borderId="14" xfId="0" applyFill="1" applyBorder="1" applyAlignment="1" applyProtection="1">
      <alignment horizontal="center" vertical="center"/>
    </xf>
    <xf numFmtId="1" fontId="0" fillId="10" borderId="75" xfId="0" applyNumberFormat="1" applyFill="1" applyBorder="1" applyAlignment="1" applyProtection="1">
      <alignment horizontal="center" vertical="center" wrapText="1"/>
    </xf>
    <xf numFmtId="1" fontId="0" fillId="11" borderId="69" xfId="0" applyNumberFormat="1" applyFill="1" applyBorder="1" applyAlignment="1" applyProtection="1">
      <alignment horizontal="center" vertical="center" wrapText="1"/>
    </xf>
    <xf numFmtId="1" fontId="0" fillId="4" borderId="79" xfId="0" applyNumberFormat="1" applyFill="1" applyBorder="1" applyAlignment="1" applyProtection="1">
      <alignment horizontal="center" vertical="center" wrapText="1"/>
    </xf>
    <xf numFmtId="0" fontId="0" fillId="3" borderId="31" xfId="0" applyFill="1" applyBorder="1" applyAlignment="1" applyProtection="1">
      <alignment horizontal="center" vertical="center"/>
    </xf>
    <xf numFmtId="0" fontId="0" fillId="3" borderId="32" xfId="0" applyFill="1" applyBorder="1" applyAlignment="1" applyProtection="1">
      <alignment horizontal="center" vertical="center"/>
    </xf>
    <xf numFmtId="0" fontId="0" fillId="3" borderId="51" xfId="0" applyFill="1" applyBorder="1" applyAlignment="1" applyProtection="1">
      <alignment horizontal="center" vertical="center"/>
    </xf>
    <xf numFmtId="0" fontId="0" fillId="3" borderId="23" xfId="0" applyFill="1" applyBorder="1" applyAlignment="1" applyProtection="1">
      <alignment horizontal="center" vertical="center"/>
    </xf>
    <xf numFmtId="0" fontId="0" fillId="3" borderId="19" xfId="0" applyFill="1" applyBorder="1" applyAlignment="1" applyProtection="1">
      <alignment horizontal="center" vertical="center"/>
    </xf>
    <xf numFmtId="0" fontId="0" fillId="3" borderId="52" xfId="0" applyFill="1" applyBorder="1" applyAlignment="1" applyProtection="1">
      <alignment horizontal="center" vertical="center"/>
    </xf>
    <xf numFmtId="1" fontId="0" fillId="10" borderId="19" xfId="0" applyNumberFormat="1" applyFill="1" applyBorder="1" applyAlignment="1" applyProtection="1">
      <alignment horizontal="center" vertical="center" wrapText="1"/>
    </xf>
    <xf numFmtId="1" fontId="0" fillId="11" borderId="179" xfId="0" applyNumberFormat="1" applyFill="1" applyBorder="1" applyAlignment="1" applyProtection="1">
      <alignment horizontal="center" vertical="center" wrapText="1"/>
    </xf>
    <xf numFmtId="1" fontId="0" fillId="4" borderId="23" xfId="0" applyNumberFormat="1" applyFill="1" applyBorder="1" applyAlignment="1" applyProtection="1">
      <alignment horizontal="center" vertical="center" wrapText="1"/>
    </xf>
    <xf numFmtId="0" fontId="0" fillId="3" borderId="3" xfId="0" applyFill="1" applyBorder="1" applyAlignment="1" applyProtection="1">
      <alignment horizontal="center" vertical="center"/>
    </xf>
    <xf numFmtId="1" fontId="0" fillId="10" borderId="9" xfId="0" applyNumberFormat="1" applyFill="1" applyBorder="1" applyAlignment="1" applyProtection="1">
      <alignment horizontal="center" vertical="center" wrapText="1"/>
    </xf>
    <xf numFmtId="1" fontId="0" fillId="11" borderId="82" xfId="0" applyNumberFormat="1" applyFill="1" applyBorder="1" applyAlignment="1" applyProtection="1">
      <alignment horizontal="center" vertical="center" wrapText="1"/>
    </xf>
    <xf numFmtId="1" fontId="0" fillId="4" borderId="3" xfId="0" applyNumberFormat="1" applyFill="1" applyBorder="1" applyAlignment="1" applyProtection="1">
      <alignment horizontal="center" vertical="center" wrapText="1"/>
    </xf>
    <xf numFmtId="0" fontId="0" fillId="0" borderId="0" xfId="0" applyProtection="1"/>
    <xf numFmtId="0" fontId="0" fillId="0" borderId="0" xfId="0" applyFont="1" applyAlignment="1" applyProtection="1">
      <alignment horizontal="center" vertical="center"/>
    </xf>
    <xf numFmtId="0" fontId="0" fillId="0" borderId="0" xfId="0" applyAlignment="1" applyProtection="1">
      <alignment horizontal="center" vertical="center"/>
    </xf>
    <xf numFmtId="0" fontId="0" fillId="0" borderId="4" xfId="0" applyBorder="1" applyProtection="1"/>
    <xf numFmtId="0" fontId="0" fillId="3" borderId="4" xfId="0" applyFill="1" applyBorder="1" applyAlignment="1" applyProtection="1">
      <alignment horizontal="center" vertical="center"/>
    </xf>
    <xf numFmtId="1" fontId="0" fillId="0" borderId="0" xfId="0" applyNumberFormat="1" applyAlignment="1" applyProtection="1">
      <alignment horizontal="center" vertical="center"/>
    </xf>
    <xf numFmtId="0" fontId="0" fillId="0" borderId="28" xfId="0" applyBorder="1" applyProtection="1"/>
    <xf numFmtId="0" fontId="0" fillId="3" borderId="28" xfId="0" applyFill="1" applyBorder="1" applyAlignment="1" applyProtection="1">
      <alignment horizontal="center" vertical="center"/>
    </xf>
    <xf numFmtId="164" fontId="0" fillId="0" borderId="0" xfId="0" applyNumberFormat="1" applyAlignment="1" applyProtection="1">
      <alignment horizontal="center" vertical="center"/>
    </xf>
    <xf numFmtId="0" fontId="0" fillId="0" borderId="2" xfId="0" applyBorder="1" applyAlignment="1" applyProtection="1">
      <alignment wrapText="1"/>
    </xf>
    <xf numFmtId="0" fontId="0" fillId="3" borderId="2" xfId="0" applyFill="1" applyBorder="1" applyAlignment="1" applyProtection="1">
      <alignment horizontal="center" vertical="center"/>
    </xf>
    <xf numFmtId="1" fontId="24" fillId="0" borderId="0" xfId="0" applyNumberFormat="1" applyFont="1" applyAlignment="1" applyProtection="1">
      <alignment horizontal="center" vertical="center"/>
    </xf>
    <xf numFmtId="1" fontId="24" fillId="0" borderId="0" xfId="0" applyNumberFormat="1" applyFont="1" applyAlignment="1" applyProtection="1">
      <alignment horizontal="left" vertical="center"/>
    </xf>
    <xf numFmtId="0" fontId="24" fillId="0" borderId="0" xfId="0" applyFont="1" applyAlignment="1" applyProtection="1">
      <alignment horizontal="center" vertical="center" wrapText="1"/>
    </xf>
    <xf numFmtId="1" fontId="0" fillId="10" borderId="11" xfId="0" applyNumberFormat="1" applyFill="1" applyBorder="1" applyAlignment="1" applyProtection="1">
      <alignment horizontal="center" vertical="center" wrapText="1"/>
    </xf>
    <xf numFmtId="1" fontId="0" fillId="11" borderId="72" xfId="0" applyNumberFormat="1" applyFill="1" applyBorder="1" applyAlignment="1" applyProtection="1">
      <alignment horizontal="center" vertical="center" wrapText="1"/>
    </xf>
    <xf numFmtId="1" fontId="0" fillId="4" borderId="7" xfId="0" applyNumberFormat="1" applyFill="1" applyBorder="1" applyAlignment="1" applyProtection="1">
      <alignment horizontal="center" vertical="center" wrapText="1"/>
    </xf>
    <xf numFmtId="1" fontId="0" fillId="8" borderId="0" xfId="0" applyNumberFormat="1" applyFill="1" applyAlignment="1" applyProtection="1">
      <alignment horizontal="center" vertical="center" wrapText="1"/>
    </xf>
    <xf numFmtId="0" fontId="2" fillId="8" borderId="0" xfId="0" applyFont="1" applyFill="1" applyProtection="1"/>
    <xf numFmtId="0" fontId="0" fillId="8" borderId="0" xfId="0" applyFont="1" applyFill="1" applyAlignment="1" applyProtection="1">
      <alignment horizontal="center" vertical="center"/>
    </xf>
    <xf numFmtId="0" fontId="0" fillId="8" borderId="0" xfId="0" applyFill="1" applyAlignment="1" applyProtection="1">
      <alignment horizontal="center" vertical="center"/>
    </xf>
    <xf numFmtId="1" fontId="0" fillId="8" borderId="0" xfId="0" applyNumberFormat="1" applyFill="1" applyAlignment="1" applyProtection="1">
      <alignment horizontal="center" vertical="center"/>
    </xf>
    <xf numFmtId="1" fontId="0" fillId="0" borderId="0" xfId="0" applyNumberFormat="1" applyAlignment="1" applyProtection="1">
      <alignment horizontal="left" vertical="center"/>
    </xf>
    <xf numFmtId="0" fontId="0" fillId="0" borderId="24" xfId="0" applyBorder="1" applyAlignment="1" applyProtection="1">
      <alignment vertical="center" wrapText="1"/>
    </xf>
    <xf numFmtId="0" fontId="0" fillId="3" borderId="24" xfId="0" applyFill="1" applyBorder="1" applyAlignment="1" applyProtection="1">
      <alignment horizontal="center" vertical="center" wrapText="1"/>
    </xf>
    <xf numFmtId="0" fontId="0" fillId="3" borderId="25" xfId="0" applyFill="1" applyBorder="1" applyAlignment="1" applyProtection="1">
      <alignment horizontal="center" vertical="center" wrapText="1"/>
    </xf>
    <xf numFmtId="0" fontId="0" fillId="3" borderId="26" xfId="0" applyFill="1" applyBorder="1" applyAlignment="1" applyProtection="1">
      <alignment horizontal="center" vertical="center" wrapText="1"/>
    </xf>
    <xf numFmtId="0" fontId="0" fillId="0" borderId="2" xfId="0" applyBorder="1" applyAlignment="1" applyProtection="1">
      <alignment horizontal="left" vertical="center"/>
    </xf>
    <xf numFmtId="0" fontId="6" fillId="0" borderId="0" xfId="0" applyFont="1" applyProtection="1"/>
    <xf numFmtId="0" fontId="0" fillId="0" borderId="0" xfId="0" applyAlignment="1" applyProtection="1">
      <alignment horizontal="center"/>
    </xf>
    <xf numFmtId="0" fontId="0" fillId="0" borderId="0" xfId="0" applyFill="1" applyBorder="1" applyAlignment="1" applyProtection="1">
      <alignment horizontal="center"/>
    </xf>
    <xf numFmtId="1" fontId="0" fillId="0" borderId="0" xfId="0" applyNumberFormat="1" applyAlignment="1" applyProtection="1">
      <alignment horizontal="center"/>
    </xf>
    <xf numFmtId="0" fontId="0" fillId="0" borderId="0" xfId="0" applyFill="1" applyAlignment="1" applyProtection="1">
      <alignment horizontal="center"/>
    </xf>
    <xf numFmtId="0" fontId="0" fillId="0" borderId="0" xfId="0" applyAlignment="1" applyProtection="1">
      <alignment vertical="center" wrapText="1"/>
    </xf>
    <xf numFmtId="0" fontId="0" fillId="0" borderId="61" xfId="0" applyFill="1" applyBorder="1" applyAlignment="1" applyProtection="1">
      <alignment horizontal="center" vertical="center" wrapText="1"/>
    </xf>
    <xf numFmtId="0" fontId="0" fillId="0" borderId="162" xfId="0" applyFill="1" applyBorder="1" applyAlignment="1" applyProtection="1">
      <alignment horizontal="center" vertical="center" wrapText="1"/>
    </xf>
    <xf numFmtId="0" fontId="0" fillId="0" borderId="62" xfId="0" applyFill="1" applyBorder="1" applyAlignment="1" applyProtection="1">
      <alignment horizontal="center" vertical="center" wrapText="1"/>
    </xf>
    <xf numFmtId="0" fontId="0" fillId="0" borderId="0" xfId="0" applyFill="1" applyAlignment="1" applyProtection="1">
      <alignment horizontal="center" vertical="center" wrapText="1"/>
    </xf>
    <xf numFmtId="0" fontId="0" fillId="0" borderId="61" xfId="0" applyBorder="1" applyAlignment="1" applyProtection="1">
      <alignment horizontal="center" vertical="center" wrapText="1"/>
    </xf>
    <xf numFmtId="0" fontId="0" fillId="0" borderId="162" xfId="0" applyBorder="1" applyAlignment="1" applyProtection="1">
      <alignment horizontal="center" vertical="center" wrapText="1"/>
    </xf>
    <xf numFmtId="0" fontId="0" fillId="0" borderId="62" xfId="0" applyBorder="1" applyAlignment="1" applyProtection="1">
      <alignment horizontal="center" vertical="center" wrapText="1"/>
    </xf>
    <xf numFmtId="0" fontId="0" fillId="0" borderId="154" xfId="0" applyFill="1" applyBorder="1" applyAlignment="1" applyProtection="1">
      <alignment vertical="center" wrapText="1"/>
    </xf>
    <xf numFmtId="0" fontId="0" fillId="0" borderId="0" xfId="0" applyFill="1" applyAlignment="1" applyProtection="1">
      <alignment wrapText="1"/>
    </xf>
    <xf numFmtId="0" fontId="0" fillId="0" borderId="0" xfId="0" applyFill="1" applyBorder="1" applyAlignment="1" applyProtection="1">
      <alignment vertical="center" wrapText="1"/>
    </xf>
    <xf numFmtId="1" fontId="0" fillId="0" borderId="161" xfId="0" applyNumberFormat="1" applyFill="1" applyBorder="1" applyAlignment="1" applyProtection="1">
      <alignment horizontal="center"/>
    </xf>
    <xf numFmtId="1" fontId="0" fillId="0" borderId="20" xfId="0" applyNumberFormat="1" applyFill="1" applyBorder="1" applyAlignment="1" applyProtection="1">
      <alignment horizontal="center"/>
    </xf>
    <xf numFmtId="1" fontId="0" fillId="0" borderId="172" xfId="0" applyNumberFormat="1" applyFill="1" applyBorder="1" applyAlignment="1" applyProtection="1">
      <alignment horizontal="center"/>
    </xf>
    <xf numFmtId="1" fontId="0" fillId="0" borderId="0" xfId="0" applyNumberFormat="1" applyFill="1" applyAlignment="1" applyProtection="1">
      <alignment horizontal="center"/>
    </xf>
    <xf numFmtId="1" fontId="0" fillId="0" borderId="161" xfId="0" applyNumberFormat="1" applyBorder="1" applyAlignment="1" applyProtection="1">
      <alignment horizontal="center"/>
    </xf>
    <xf numFmtId="1" fontId="0" fillId="0" borderId="20" xfId="0" applyNumberFormat="1" applyBorder="1" applyAlignment="1" applyProtection="1">
      <alignment horizontal="center"/>
    </xf>
    <xf numFmtId="1" fontId="0" fillId="0" borderId="172" xfId="0" applyNumberFormat="1" applyBorder="1" applyAlignment="1" applyProtection="1">
      <alignment horizontal="center"/>
    </xf>
    <xf numFmtId="1" fontId="0" fillId="0" borderId="64" xfId="0" applyNumberFormat="1" applyFill="1" applyBorder="1" applyAlignment="1" applyProtection="1">
      <alignment horizontal="center"/>
    </xf>
    <xf numFmtId="0" fontId="0" fillId="0" borderId="104" xfId="0" applyFill="1" applyBorder="1" applyAlignment="1" applyProtection="1">
      <alignment horizontal="center"/>
    </xf>
    <xf numFmtId="1" fontId="0" fillId="0" borderId="63" xfId="0" applyNumberFormat="1" applyFill="1" applyBorder="1" applyAlignment="1" applyProtection="1">
      <alignment horizontal="center"/>
    </xf>
    <xf numFmtId="1" fontId="0" fillId="0" borderId="0" xfId="0" applyNumberFormat="1" applyFill="1" applyBorder="1" applyAlignment="1" applyProtection="1">
      <alignment horizontal="center"/>
    </xf>
    <xf numFmtId="1" fontId="0" fillId="0" borderId="61" xfId="0" applyNumberFormat="1" applyFill="1" applyBorder="1" applyAlignment="1" applyProtection="1">
      <alignment horizontal="center"/>
    </xf>
    <xf numFmtId="1" fontId="0" fillId="0" borderId="162" xfId="0" applyNumberFormat="1" applyFill="1" applyBorder="1" applyAlignment="1" applyProtection="1">
      <alignment horizontal="center"/>
    </xf>
    <xf numFmtId="1" fontId="0" fillId="0" borderId="62" xfId="0" applyNumberFormat="1" applyFill="1" applyBorder="1" applyAlignment="1" applyProtection="1">
      <alignment horizontal="center"/>
    </xf>
    <xf numFmtId="1" fontId="0" fillId="0" borderId="63" xfId="0" applyNumberFormat="1" applyFont="1" applyFill="1" applyBorder="1" applyAlignment="1" applyProtection="1">
      <alignment horizontal="center"/>
    </xf>
    <xf numFmtId="1" fontId="0" fillId="0" borderId="0" xfId="0" applyNumberFormat="1" applyFont="1" applyFill="1" applyBorder="1" applyAlignment="1" applyProtection="1">
      <alignment horizontal="center"/>
    </xf>
    <xf numFmtId="1" fontId="0" fillId="0" borderId="64" xfId="0" applyNumberFormat="1" applyFont="1" applyFill="1" applyBorder="1" applyAlignment="1" applyProtection="1">
      <alignment horizontal="center"/>
    </xf>
    <xf numFmtId="1" fontId="0" fillId="0" borderId="0" xfId="0" applyNumberFormat="1" applyFont="1" applyFill="1" applyAlignment="1" applyProtection="1">
      <alignment horizontal="center"/>
    </xf>
    <xf numFmtId="1" fontId="26" fillId="0" borderId="63" xfId="0" applyNumberFormat="1" applyFont="1" applyFill="1" applyBorder="1" applyAlignment="1" applyProtection="1">
      <alignment horizontal="center"/>
    </xf>
    <xf numFmtId="1" fontId="26" fillId="0" borderId="0" xfId="0" applyNumberFormat="1" applyFont="1" applyFill="1" applyBorder="1" applyAlignment="1" applyProtection="1">
      <alignment horizontal="center"/>
    </xf>
    <xf numFmtId="1" fontId="26" fillId="0" borderId="64" xfId="0" applyNumberFormat="1" applyFont="1" applyFill="1" applyBorder="1" applyAlignment="1" applyProtection="1">
      <alignment horizontal="center"/>
    </xf>
    <xf numFmtId="0" fontId="26" fillId="0" borderId="0" xfId="0" applyFont="1" applyFill="1" applyProtection="1"/>
    <xf numFmtId="0" fontId="0" fillId="0" borderId="0" xfId="0" applyFill="1" applyAlignment="1" applyProtection="1">
      <alignment horizontal="right"/>
    </xf>
    <xf numFmtId="1" fontId="2" fillId="0" borderId="63" xfId="0" applyNumberFormat="1" applyFont="1" applyFill="1" applyBorder="1" applyAlignment="1" applyProtection="1">
      <alignment horizontal="center"/>
    </xf>
    <xf numFmtId="1" fontId="2" fillId="0" borderId="0" xfId="0" applyNumberFormat="1" applyFont="1" applyFill="1" applyBorder="1" applyAlignment="1" applyProtection="1">
      <alignment horizontal="center"/>
    </xf>
    <xf numFmtId="1" fontId="2" fillId="0" borderId="64" xfId="0" applyNumberFormat="1" applyFont="1" applyFill="1" applyBorder="1" applyAlignment="1" applyProtection="1">
      <alignment horizontal="center"/>
    </xf>
    <xf numFmtId="0" fontId="0" fillId="6" borderId="104" xfId="0" applyFill="1" applyBorder="1" applyAlignment="1" applyProtection="1">
      <alignment horizontal="center"/>
    </xf>
    <xf numFmtId="0" fontId="0" fillId="0" borderId="0" xfId="0" applyFont="1" applyFill="1" applyBorder="1" applyProtection="1"/>
    <xf numFmtId="0" fontId="0" fillId="0" borderId="13" xfId="0" applyFont="1" applyFill="1" applyBorder="1" applyProtection="1"/>
    <xf numFmtId="1" fontId="0" fillId="0" borderId="65" xfId="0" applyNumberFormat="1" applyFill="1" applyBorder="1" applyAlignment="1" applyProtection="1">
      <alignment horizontal="center"/>
    </xf>
    <xf numFmtId="1" fontId="0" fillId="0" borderId="13" xfId="0" applyNumberFormat="1" applyFill="1" applyBorder="1" applyAlignment="1" applyProtection="1">
      <alignment horizontal="center"/>
    </xf>
    <xf numFmtId="1" fontId="0" fillId="0" borderId="66" xfId="0" applyNumberFormat="1" applyFill="1" applyBorder="1" applyAlignment="1" applyProtection="1">
      <alignment horizontal="center"/>
    </xf>
    <xf numFmtId="1" fontId="0" fillId="0" borderId="65" xfId="0" applyNumberFormat="1" applyFont="1" applyFill="1" applyBorder="1" applyAlignment="1" applyProtection="1">
      <alignment horizontal="center"/>
    </xf>
    <xf numFmtId="1" fontId="0" fillId="0" borderId="13" xfId="0" applyNumberFormat="1" applyFont="1" applyFill="1" applyBorder="1" applyAlignment="1" applyProtection="1">
      <alignment horizontal="center"/>
    </xf>
    <xf numFmtId="1" fontId="0" fillId="0" borderId="66" xfId="0" applyNumberFormat="1" applyFont="1" applyFill="1" applyBorder="1" applyAlignment="1" applyProtection="1">
      <alignment horizontal="center"/>
    </xf>
    <xf numFmtId="1" fontId="2" fillId="0" borderId="65" xfId="0" applyNumberFormat="1" applyFont="1" applyFill="1" applyBorder="1" applyAlignment="1" applyProtection="1">
      <alignment horizontal="center"/>
    </xf>
    <xf numFmtId="1" fontId="2" fillId="0" borderId="13" xfId="0" applyNumberFormat="1" applyFont="1" applyFill="1" applyBorder="1" applyAlignment="1" applyProtection="1">
      <alignment horizontal="center"/>
    </xf>
    <xf numFmtId="1" fontId="2" fillId="0" borderId="66" xfId="0" applyNumberFormat="1" applyFont="1" applyFill="1" applyBorder="1" applyAlignment="1" applyProtection="1">
      <alignment horizontal="center"/>
    </xf>
    <xf numFmtId="0" fontId="0" fillId="0" borderId="162" xfId="0" applyBorder="1" applyAlignment="1" applyProtection="1"/>
    <xf numFmtId="0" fontId="0" fillId="0" borderId="0" xfId="0" applyFont="1" applyFill="1" applyProtection="1"/>
    <xf numFmtId="0" fontId="0" fillId="0" borderId="0" xfId="0" applyBorder="1" applyAlignment="1" applyProtection="1"/>
    <xf numFmtId="0" fontId="0" fillId="0" borderId="0" xfId="0" applyFill="1" applyBorder="1" applyAlignment="1" applyProtection="1"/>
    <xf numFmtId="0" fontId="0" fillId="0" borderId="0" xfId="0" applyFont="1" applyFill="1" applyBorder="1" applyAlignment="1" applyProtection="1"/>
    <xf numFmtId="0" fontId="0" fillId="0" borderId="0" xfId="0" applyFont="1" applyFill="1" applyAlignment="1" applyProtection="1"/>
    <xf numFmtId="0" fontId="0" fillId="0" borderId="59" xfId="0" applyFill="1" applyBorder="1" applyAlignment="1" applyProtection="1">
      <alignment horizontal="center"/>
    </xf>
    <xf numFmtId="0" fontId="7" fillId="0" borderId="0" xfId="0" applyFont="1" applyFill="1" applyProtection="1"/>
    <xf numFmtId="1" fontId="1" fillId="0" borderId="0" xfId="0" applyNumberFormat="1" applyFont="1" applyFill="1" applyAlignment="1" applyProtection="1">
      <alignment horizontal="center"/>
    </xf>
    <xf numFmtId="1" fontId="1" fillId="0" borderId="0" xfId="0" applyNumberFormat="1" applyFont="1" applyAlignment="1" applyProtection="1">
      <alignment horizontal="center"/>
    </xf>
    <xf numFmtId="1" fontId="0" fillId="0" borderId="0" xfId="0" applyNumberFormat="1" applyFill="1" applyAlignment="1" applyProtection="1">
      <alignment horizontal="center" vertical="center" wrapText="1"/>
    </xf>
    <xf numFmtId="1" fontId="0" fillId="0" borderId="0" xfId="0" applyNumberFormat="1" applyBorder="1" applyAlignment="1" applyProtection="1">
      <alignment horizontal="center"/>
    </xf>
    <xf numFmtId="9" fontId="0" fillId="0" borderId="0" xfId="1" applyFont="1" applyFill="1" applyAlignment="1" applyProtection="1">
      <alignment horizontal="center"/>
    </xf>
    <xf numFmtId="9" fontId="0" fillId="0" borderId="0" xfId="1" applyFont="1" applyAlignment="1" applyProtection="1">
      <alignment horizontal="center"/>
    </xf>
    <xf numFmtId="9" fontId="0" fillId="0" borderId="0" xfId="1" applyFont="1" applyBorder="1" applyAlignment="1" applyProtection="1">
      <alignment horizontal="center"/>
    </xf>
    <xf numFmtId="0" fontId="4" fillId="0" borderId="0" xfId="0" applyFont="1" applyAlignment="1" applyProtection="1">
      <alignment horizontal="center" vertical="center" wrapText="1"/>
    </xf>
    <xf numFmtId="0" fontId="0" fillId="0" borderId="0" xfId="0" applyFill="1" applyBorder="1" applyAlignment="1" applyProtection="1">
      <alignment horizontal="center" vertical="center" wrapText="1"/>
    </xf>
    <xf numFmtId="1" fontId="4" fillId="0" borderId="0" xfId="0" applyNumberFormat="1" applyFont="1" applyAlignment="1" applyProtection="1">
      <alignment horizontal="center"/>
    </xf>
    <xf numFmtId="0" fontId="0" fillId="0" borderId="0" xfId="0" applyAlignment="1" applyProtection="1">
      <alignment horizontal="right" indent="1"/>
    </xf>
    <xf numFmtId="0" fontId="1" fillId="0" borderId="0" xfId="0" applyFont="1" applyAlignment="1" applyProtection="1">
      <alignment horizontal="right"/>
    </xf>
    <xf numFmtId="0" fontId="0" fillId="0" borderId="0" xfId="0" applyAlignment="1" applyProtection="1">
      <alignment horizontal="right"/>
    </xf>
    <xf numFmtId="0" fontId="0" fillId="2" borderId="0" xfId="0" applyFill="1" applyAlignment="1" applyProtection="1">
      <alignment horizontal="right" vertical="center" wrapText="1"/>
    </xf>
    <xf numFmtId="1" fontId="0" fillId="0" borderId="0" xfId="0" applyNumberFormat="1" applyAlignment="1" applyProtection="1">
      <alignment horizontal="right"/>
    </xf>
    <xf numFmtId="0" fontId="0" fillId="0" borderId="0" xfId="0" applyAlignment="1" applyProtection="1">
      <alignment horizontal="left"/>
    </xf>
    <xf numFmtId="0" fontId="8" fillId="0" borderId="0" xfId="0" applyFont="1" applyAlignment="1" applyProtection="1">
      <alignment horizontal="center"/>
    </xf>
    <xf numFmtId="0" fontId="2" fillId="0" borderId="0" xfId="0" applyFont="1" applyAlignment="1" applyProtection="1">
      <alignment horizontal="left"/>
    </xf>
    <xf numFmtId="0" fontId="0" fillId="0" borderId="0" xfId="0" applyAlignment="1" applyProtection="1"/>
    <xf numFmtId="0" fontId="0" fillId="7" borderId="8" xfId="0" applyFill="1" applyBorder="1" applyAlignment="1" applyProtection="1">
      <alignment horizontal="left"/>
    </xf>
    <xf numFmtId="0" fontId="0" fillId="7" borderId="10" xfId="0" applyFill="1" applyBorder="1" applyAlignment="1" applyProtection="1">
      <alignment horizontal="left" vertical="top"/>
    </xf>
    <xf numFmtId="0" fontId="0" fillId="7" borderId="0" xfId="0" applyFill="1" applyBorder="1" applyAlignment="1" applyProtection="1">
      <alignment horizontal="left" vertical="top"/>
    </xf>
    <xf numFmtId="0" fontId="0" fillId="0" borderId="0" xfId="0" quotePrefix="1" applyAlignment="1" applyProtection="1">
      <alignment horizontal="center"/>
    </xf>
    <xf numFmtId="0" fontId="0" fillId="5" borderId="42" xfId="0" applyFont="1" applyFill="1" applyBorder="1" applyAlignment="1" applyProtection="1">
      <alignment horizontal="center" vertical="center" wrapText="1"/>
      <protection locked="0"/>
    </xf>
    <xf numFmtId="0" fontId="18" fillId="8" borderId="0" xfId="0" applyFont="1" applyFill="1" applyAlignment="1">
      <alignment horizontal="center" vertical="center" wrapText="1"/>
    </xf>
    <xf numFmtId="0" fontId="17" fillId="8" borderId="0" xfId="0" applyFont="1" applyFill="1" applyAlignment="1">
      <alignment horizontal="center" vertical="center" wrapText="1"/>
    </xf>
    <xf numFmtId="0" fontId="21" fillId="8" borderId="0" xfId="0" applyFont="1" applyFill="1" applyAlignment="1">
      <alignment horizontal="center" vertical="center"/>
    </xf>
    <xf numFmtId="0" fontId="30" fillId="12" borderId="0" xfId="0" applyFont="1" applyFill="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88"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89" xfId="0" applyFont="1" applyBorder="1" applyAlignment="1" applyProtection="1">
      <alignment horizontal="center" vertical="center" wrapText="1"/>
    </xf>
    <xf numFmtId="0" fontId="1" fillId="0" borderId="125" xfId="0" applyFont="1" applyBorder="1" applyAlignment="1" applyProtection="1">
      <alignment horizontal="center" vertical="center"/>
    </xf>
    <xf numFmtId="0" fontId="1" fillId="0" borderId="62" xfId="0" applyFont="1" applyBorder="1" applyAlignment="1" applyProtection="1">
      <alignment horizontal="center" vertical="center"/>
    </xf>
    <xf numFmtId="0" fontId="1" fillId="0" borderId="10" xfId="0" applyFont="1" applyBorder="1" applyAlignment="1" applyProtection="1">
      <alignment horizontal="center" vertical="center"/>
    </xf>
    <xf numFmtId="0" fontId="1" fillId="0" borderId="64" xfId="0" applyFont="1" applyBorder="1" applyAlignment="1" applyProtection="1">
      <alignment horizontal="center" vertical="center"/>
    </xf>
    <xf numFmtId="0" fontId="1" fillId="0" borderId="9" xfId="0" applyFont="1" applyBorder="1" applyAlignment="1" applyProtection="1">
      <alignment horizontal="center" vertical="center"/>
    </xf>
    <xf numFmtId="0" fontId="1" fillId="0" borderId="89" xfId="0" applyFont="1" applyBorder="1" applyAlignment="1" applyProtection="1">
      <alignment horizontal="center" vertical="center"/>
    </xf>
    <xf numFmtId="0" fontId="1" fillId="0" borderId="10" xfId="0" applyFont="1" applyBorder="1" applyAlignment="1" applyProtection="1">
      <alignment horizontal="center" vertical="center" wrapText="1"/>
    </xf>
    <xf numFmtId="0" fontId="1" fillId="0" borderId="64" xfId="0" applyFont="1" applyBorder="1" applyAlignment="1" applyProtection="1">
      <alignment horizontal="center" vertical="center" wrapText="1"/>
    </xf>
    <xf numFmtId="0" fontId="1" fillId="0" borderId="12" xfId="0" applyFont="1" applyBorder="1" applyAlignment="1" applyProtection="1">
      <alignment horizontal="center" vertical="center" wrapText="1"/>
    </xf>
    <xf numFmtId="0" fontId="1" fillId="0" borderId="66" xfId="0" applyFont="1" applyBorder="1" applyAlignment="1" applyProtection="1">
      <alignment horizontal="center" vertical="center" wrapText="1"/>
    </xf>
    <xf numFmtId="0" fontId="1" fillId="0" borderId="15" xfId="0"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1" fillId="0" borderId="17" xfId="0" applyFont="1" applyBorder="1" applyAlignment="1" applyProtection="1">
      <alignment horizontal="center" vertical="center" wrapText="1"/>
    </xf>
    <xf numFmtId="0" fontId="1" fillId="0" borderId="19" xfId="0" applyFont="1" applyBorder="1" applyAlignment="1" applyProtection="1">
      <alignment horizontal="center"/>
    </xf>
    <xf numFmtId="0" fontId="1" fillId="0" borderId="20" xfId="0" applyFont="1" applyBorder="1" applyAlignment="1" applyProtection="1">
      <alignment horizontal="center"/>
    </xf>
    <xf numFmtId="0" fontId="1" fillId="0" borderId="19" xfId="0" applyFont="1" applyBorder="1" applyAlignment="1" applyProtection="1">
      <alignment horizontal="center" wrapText="1"/>
    </xf>
    <xf numFmtId="0" fontId="1" fillId="0" borderId="20" xfId="0" applyFont="1" applyBorder="1" applyAlignment="1" applyProtection="1">
      <alignment horizontal="center" wrapText="1"/>
    </xf>
    <xf numFmtId="0" fontId="1" fillId="0" borderId="163" xfId="0" applyFont="1" applyBorder="1" applyAlignment="1" applyProtection="1">
      <alignment horizontal="center" wrapText="1"/>
    </xf>
    <xf numFmtId="0" fontId="1" fillId="0" borderId="111" xfId="0" applyFont="1" applyBorder="1" applyAlignment="1" applyProtection="1">
      <alignment horizontal="center" vertical="center" wrapText="1"/>
    </xf>
    <xf numFmtId="0" fontId="1" fillId="0" borderId="104" xfId="0" applyFont="1" applyBorder="1" applyAlignment="1" applyProtection="1">
      <alignment horizontal="center" vertical="center" wrapText="1"/>
    </xf>
    <xf numFmtId="0" fontId="1" fillId="0" borderId="109" xfId="0" applyFont="1" applyBorder="1" applyAlignment="1" applyProtection="1">
      <alignment horizontal="center" vertical="center" wrapText="1"/>
    </xf>
    <xf numFmtId="0" fontId="1" fillId="8" borderId="169" xfId="0" applyFont="1" applyFill="1" applyBorder="1" applyAlignment="1" applyProtection="1">
      <alignment horizontal="center"/>
    </xf>
    <xf numFmtId="0" fontId="1" fillId="8" borderId="170" xfId="0" applyFont="1" applyFill="1" applyBorder="1" applyAlignment="1" applyProtection="1">
      <alignment horizontal="center"/>
    </xf>
    <xf numFmtId="0" fontId="1" fillId="8" borderId="171" xfId="0" applyFont="1" applyFill="1" applyBorder="1" applyAlignment="1" applyProtection="1">
      <alignment horizontal="center"/>
    </xf>
    <xf numFmtId="0" fontId="1" fillId="0" borderId="93" xfId="0" applyFont="1" applyBorder="1" applyAlignment="1" applyProtection="1">
      <alignment horizontal="center" vertical="center" wrapText="1"/>
    </xf>
    <xf numFmtId="0" fontId="1" fillId="0" borderId="94" xfId="0" applyFont="1" applyBorder="1" applyAlignment="1" applyProtection="1">
      <alignment horizontal="center" vertical="center" wrapText="1"/>
    </xf>
    <xf numFmtId="0" fontId="1" fillId="0" borderId="95" xfId="0" applyFont="1" applyBorder="1" applyAlignment="1" applyProtection="1">
      <alignment horizontal="center" vertical="center" wrapText="1"/>
    </xf>
    <xf numFmtId="0" fontId="7" fillId="0" borderId="126" xfId="0" applyFont="1" applyFill="1" applyBorder="1" applyAlignment="1" applyProtection="1">
      <alignment horizontal="center" vertical="center" wrapText="1"/>
    </xf>
    <xf numFmtId="0" fontId="7" fillId="0" borderId="141" xfId="0" applyFont="1" applyFill="1" applyBorder="1" applyAlignment="1" applyProtection="1">
      <alignment horizontal="center" vertical="center" wrapText="1"/>
    </xf>
    <xf numFmtId="0" fontId="7" fillId="0" borderId="151" xfId="0" applyFont="1" applyFill="1" applyBorder="1" applyAlignment="1" applyProtection="1">
      <alignment horizontal="center" vertical="center" wrapText="1"/>
    </xf>
    <xf numFmtId="0" fontId="5" fillId="0" borderId="8" xfId="0" applyFont="1" applyBorder="1" applyAlignment="1" applyProtection="1">
      <alignment horizontal="center" vertical="center" wrapText="1"/>
    </xf>
    <xf numFmtId="0" fontId="5" fillId="0" borderId="88" xfId="0" applyFont="1" applyBorder="1" applyAlignment="1" applyProtection="1">
      <alignment horizontal="center" vertical="center" wrapText="1"/>
    </xf>
    <xf numFmtId="0" fontId="5" fillId="0" borderId="10" xfId="0" applyFont="1" applyBorder="1" applyAlignment="1" applyProtection="1">
      <alignment horizontal="center" vertical="center" wrapText="1"/>
    </xf>
    <xf numFmtId="0" fontId="5" fillId="0" borderId="64" xfId="0" applyFont="1" applyBorder="1" applyAlignment="1" applyProtection="1">
      <alignment horizontal="center" vertical="center" wrapText="1"/>
    </xf>
    <xf numFmtId="0" fontId="5" fillId="0" borderId="9" xfId="0" applyFont="1" applyBorder="1" applyAlignment="1" applyProtection="1">
      <alignment horizontal="center" vertical="center" wrapText="1"/>
    </xf>
    <xf numFmtId="0" fontId="5" fillId="0" borderId="89" xfId="0" applyFont="1" applyBorder="1" applyAlignment="1" applyProtection="1">
      <alignment horizontal="center" vertical="center" wrapText="1"/>
    </xf>
    <xf numFmtId="0" fontId="1" fillId="0" borderId="156" xfId="0" applyFont="1" applyBorder="1" applyAlignment="1" applyProtection="1">
      <alignment horizontal="center" vertical="center" wrapText="1"/>
    </xf>
    <xf numFmtId="0" fontId="1" fillId="0" borderId="0" xfId="0" applyFont="1" applyAlignment="1" applyProtection="1">
      <alignment horizontal="center" vertical="center" wrapText="1"/>
    </xf>
    <xf numFmtId="0" fontId="1" fillId="0" borderId="157" xfId="0" applyFont="1" applyBorder="1" applyAlignment="1" applyProtection="1">
      <alignment horizontal="center" vertical="center" wrapText="1"/>
    </xf>
    <xf numFmtId="0" fontId="1" fillId="0" borderId="158"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96" xfId="0" applyFont="1" applyBorder="1" applyAlignment="1" applyProtection="1">
      <alignment horizontal="center" vertical="center" wrapText="1"/>
    </xf>
    <xf numFmtId="0" fontId="1" fillId="0" borderId="98" xfId="0" applyFont="1" applyBorder="1" applyAlignment="1" applyProtection="1">
      <alignment horizontal="center" vertical="center" wrapText="1"/>
    </xf>
    <xf numFmtId="0" fontId="1" fillId="0" borderId="100" xfId="0" applyFont="1" applyBorder="1" applyAlignment="1" applyProtection="1">
      <alignment horizontal="center" vertical="center" wrapText="1"/>
    </xf>
    <xf numFmtId="0" fontId="1" fillId="0" borderId="97" xfId="0" applyFont="1" applyBorder="1" applyAlignment="1" applyProtection="1">
      <alignment horizontal="center" vertical="center" wrapText="1"/>
    </xf>
    <xf numFmtId="0" fontId="1" fillId="0" borderId="99" xfId="0" applyFont="1" applyBorder="1" applyAlignment="1" applyProtection="1">
      <alignment horizontal="center" vertical="center" wrapText="1"/>
    </xf>
    <xf numFmtId="0" fontId="1" fillId="0" borderId="101" xfId="0" applyFont="1" applyBorder="1" applyAlignment="1" applyProtection="1">
      <alignment horizontal="center" vertical="center" wrapText="1"/>
    </xf>
    <xf numFmtId="0" fontId="18" fillId="8" borderId="0" xfId="0" applyFont="1" applyFill="1" applyAlignment="1" applyProtection="1">
      <alignment horizontal="center" vertical="center" wrapText="1"/>
    </xf>
    <xf numFmtId="0" fontId="17" fillId="8" borderId="0" xfId="0" applyFont="1" applyFill="1" applyAlignment="1" applyProtection="1">
      <alignment horizontal="center" vertical="center" wrapText="1"/>
    </xf>
    <xf numFmtId="0" fontId="1" fillId="0" borderId="65" xfId="0" applyFont="1" applyBorder="1" applyAlignment="1" applyProtection="1">
      <alignment horizontal="left" vertical="center" wrapText="1"/>
    </xf>
    <xf numFmtId="0" fontId="1" fillId="0" borderId="164" xfId="0" applyFont="1" applyBorder="1" applyAlignment="1" applyProtection="1">
      <alignment horizontal="left" vertical="center" wrapText="1"/>
    </xf>
    <xf numFmtId="0" fontId="1" fillId="0" borderId="125" xfId="0" applyFont="1" applyBorder="1" applyAlignment="1" applyProtection="1">
      <alignment horizontal="center" vertical="center" wrapText="1"/>
    </xf>
    <xf numFmtId="0" fontId="0" fillId="8" borderId="10" xfId="0" applyFill="1" applyBorder="1" applyAlignment="1" applyProtection="1">
      <alignment horizontal="right"/>
    </xf>
    <xf numFmtId="0" fontId="0" fillId="8" borderId="0" xfId="0" applyFill="1" applyBorder="1" applyAlignment="1" applyProtection="1">
      <alignment horizontal="right"/>
    </xf>
    <xf numFmtId="0" fontId="0" fillId="8" borderId="8" xfId="0" applyFill="1" applyBorder="1" applyAlignment="1" applyProtection="1">
      <alignment horizontal="center"/>
    </xf>
    <xf numFmtId="0" fontId="0" fillId="8" borderId="4" xfId="0" applyFill="1" applyBorder="1" applyAlignment="1" applyProtection="1">
      <alignment horizontal="center"/>
    </xf>
    <xf numFmtId="0" fontId="0" fillId="8" borderId="5" xfId="0" applyFill="1" applyBorder="1" applyAlignment="1" applyProtection="1">
      <alignment horizontal="center"/>
    </xf>
    <xf numFmtId="0" fontId="1" fillId="5" borderId="0" xfId="0" applyFont="1" applyFill="1" applyAlignment="1" applyProtection="1">
      <alignment horizontal="left"/>
      <protection locked="0"/>
    </xf>
    <xf numFmtId="0" fontId="0" fillId="8" borderId="0" xfId="0" applyFill="1" applyBorder="1" applyAlignment="1" applyProtection="1">
      <alignment horizontal="left" vertical="center"/>
    </xf>
    <xf numFmtId="0" fontId="1" fillId="5" borderId="4" xfId="0" applyFont="1" applyFill="1" applyBorder="1" applyAlignment="1" applyProtection="1">
      <alignment horizontal="center" vertical="center" wrapText="1"/>
      <protection locked="0"/>
    </xf>
    <xf numFmtId="0" fontId="1" fillId="5" borderId="5" xfId="0" applyFont="1" applyFill="1" applyBorder="1" applyAlignment="1" applyProtection="1">
      <alignment horizontal="center" vertical="center" wrapText="1"/>
      <protection locked="0"/>
    </xf>
    <xf numFmtId="0" fontId="1" fillId="5" borderId="2" xfId="0" applyFont="1" applyFill="1" applyBorder="1" applyAlignment="1" applyProtection="1">
      <alignment horizontal="center" vertical="center" wrapText="1"/>
      <protection locked="0"/>
    </xf>
    <xf numFmtId="0" fontId="1" fillId="5" borderId="3" xfId="0" applyFont="1" applyFill="1" applyBorder="1" applyAlignment="1" applyProtection="1">
      <alignment horizontal="center" vertical="center" wrapText="1"/>
      <protection locked="0"/>
    </xf>
    <xf numFmtId="0" fontId="0" fillId="8" borderId="0" xfId="0" applyFill="1" applyAlignment="1" applyProtection="1">
      <alignment horizontal="center"/>
    </xf>
    <xf numFmtId="0" fontId="9" fillId="0" borderId="0" xfId="0" applyFont="1" applyFill="1" applyAlignment="1" applyProtection="1">
      <alignment horizontal="center" vertical="center"/>
    </xf>
    <xf numFmtId="0" fontId="1" fillId="8" borderId="0" xfId="0" applyFont="1" applyFill="1" applyAlignment="1" applyProtection="1">
      <alignment horizontal="right" vertical="center" wrapText="1"/>
    </xf>
    <xf numFmtId="0" fontId="1" fillId="8" borderId="0" xfId="0" applyFont="1" applyFill="1" applyAlignment="1" applyProtection="1">
      <alignment horizontal="right" vertical="center"/>
    </xf>
    <xf numFmtId="0" fontId="10" fillId="5" borderId="0" xfId="0" applyFont="1" applyFill="1" applyAlignment="1" applyProtection="1">
      <alignment horizontal="center"/>
    </xf>
    <xf numFmtId="0" fontId="0" fillId="12" borderId="0" xfId="0" applyFill="1" applyBorder="1" applyAlignment="1" applyProtection="1">
      <alignment horizontal="center" vertical="top" wrapText="1"/>
    </xf>
    <xf numFmtId="0" fontId="0" fillId="8" borderId="9" xfId="0" applyFill="1" applyBorder="1" applyAlignment="1" applyProtection="1">
      <alignment horizontal="right"/>
    </xf>
    <xf numFmtId="0" fontId="0" fillId="8" borderId="2" xfId="0" applyFill="1" applyBorder="1" applyAlignment="1" applyProtection="1">
      <alignment horizontal="right"/>
    </xf>
    <xf numFmtId="0" fontId="1" fillId="0" borderId="102" xfId="0" applyFont="1" applyBorder="1" applyAlignment="1" applyProtection="1">
      <alignment horizontal="center" vertical="center" wrapText="1"/>
    </xf>
    <xf numFmtId="0" fontId="1" fillId="0" borderId="82" xfId="0" applyFont="1" applyBorder="1" applyAlignment="1" applyProtection="1">
      <alignment horizontal="center" vertical="center" wrapText="1"/>
    </xf>
    <xf numFmtId="0" fontId="1" fillId="10" borderId="8" xfId="0" applyFont="1" applyFill="1" applyBorder="1" applyAlignment="1" applyProtection="1">
      <alignment horizontal="center" vertical="center" wrapText="1"/>
    </xf>
    <xf numFmtId="0" fontId="1" fillId="10" borderId="10" xfId="0" applyFont="1" applyFill="1" applyBorder="1" applyAlignment="1" applyProtection="1">
      <alignment horizontal="center" vertical="center" wrapText="1"/>
    </xf>
    <xf numFmtId="0" fontId="1" fillId="10" borderId="9" xfId="0" applyFont="1" applyFill="1" applyBorder="1" applyAlignment="1" applyProtection="1">
      <alignment horizontal="center" vertical="center" wrapText="1"/>
    </xf>
    <xf numFmtId="0" fontId="1" fillId="11" borderId="102" xfId="0" applyFont="1" applyFill="1" applyBorder="1" applyAlignment="1" applyProtection="1">
      <alignment horizontal="center" vertical="center" wrapText="1"/>
    </xf>
    <xf numFmtId="0" fontId="1" fillId="11" borderId="103" xfId="0" applyFont="1" applyFill="1" applyBorder="1" applyAlignment="1" applyProtection="1">
      <alignment horizontal="center" vertical="center" wrapText="1"/>
    </xf>
    <xf numFmtId="0" fontId="1" fillId="11" borderId="82" xfId="0" applyFont="1" applyFill="1" applyBorder="1" applyAlignment="1" applyProtection="1">
      <alignment horizontal="center" vertical="center" wrapText="1"/>
    </xf>
    <xf numFmtId="0" fontId="1" fillId="4" borderId="5" xfId="0"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wrapText="1"/>
    </xf>
    <xf numFmtId="0" fontId="23" fillId="12" borderId="0" xfId="0" applyFont="1" applyFill="1" applyAlignment="1" applyProtection="1">
      <alignment horizontal="center" wrapText="1"/>
    </xf>
    <xf numFmtId="0" fontId="23" fillId="12" borderId="0" xfId="0" applyFont="1" applyFill="1" applyBorder="1" applyAlignment="1" applyProtection="1">
      <alignment horizontal="center" wrapText="1"/>
    </xf>
    <xf numFmtId="0" fontId="1" fillId="0" borderId="54" xfId="0" applyFont="1" applyBorder="1" applyAlignment="1">
      <alignment horizontal="center" vertical="center" wrapText="1"/>
    </xf>
    <xf numFmtId="0" fontId="1" fillId="0" borderId="22" xfId="0" applyFont="1" applyBorder="1" applyAlignment="1">
      <alignment horizontal="center" vertical="center" wrapText="1"/>
    </xf>
    <xf numFmtId="0" fontId="1" fillId="8" borderId="0" xfId="0" applyFont="1" applyFill="1" applyAlignment="1">
      <alignment horizontal="center"/>
    </xf>
    <xf numFmtId="0" fontId="1" fillId="8" borderId="126" xfId="0" applyFont="1" applyFill="1" applyBorder="1" applyAlignment="1">
      <alignment horizontal="left" vertical="center" wrapText="1"/>
    </xf>
    <xf numFmtId="0" fontId="1" fillId="8" borderId="141" xfId="0" applyFont="1" applyFill="1" applyBorder="1" applyAlignment="1">
      <alignment horizontal="left" vertical="center" wrapText="1"/>
    </xf>
    <xf numFmtId="0" fontId="1" fillId="8" borderId="19" xfId="0" applyFont="1" applyFill="1" applyBorder="1" applyAlignment="1">
      <alignment horizontal="left" vertical="center" wrapText="1"/>
    </xf>
    <xf numFmtId="0" fontId="1" fillId="8" borderId="20" xfId="0" applyFont="1" applyFill="1" applyBorder="1" applyAlignment="1">
      <alignment horizontal="left" vertical="center" wrapText="1"/>
    </xf>
    <xf numFmtId="0" fontId="8" fillId="8" borderId="0" xfId="0" applyFont="1" applyFill="1" applyBorder="1" applyAlignment="1">
      <alignment horizontal="right" vertical="center"/>
    </xf>
    <xf numFmtId="0" fontId="1" fillId="8" borderId="169" xfId="0" applyFont="1" applyFill="1" applyBorder="1" applyAlignment="1">
      <alignment horizontal="left" vertical="center" wrapText="1"/>
    </xf>
    <xf numFmtId="0" fontId="1" fillId="8" borderId="170" xfId="0" applyFont="1" applyFill="1" applyBorder="1" applyAlignment="1">
      <alignment horizontal="left" vertical="center" wrapText="1"/>
    </xf>
    <xf numFmtId="0" fontId="1" fillId="8" borderId="19" xfId="0" applyFont="1" applyFill="1" applyBorder="1" applyAlignment="1">
      <alignment horizontal="left"/>
    </xf>
    <xf numFmtId="0" fontId="1" fillId="8" borderId="20" xfId="0" applyFont="1" applyFill="1" applyBorder="1" applyAlignment="1">
      <alignment horizontal="left"/>
    </xf>
    <xf numFmtId="1" fontId="1" fillId="10" borderId="140" xfId="0" applyNumberFormat="1" applyFont="1" applyFill="1" applyBorder="1" applyAlignment="1">
      <alignment horizontal="center" vertical="center" wrapText="1"/>
    </xf>
    <xf numFmtId="1" fontId="1" fillId="10" borderId="152" xfId="0" applyNumberFormat="1" applyFont="1" applyFill="1" applyBorder="1" applyAlignment="1">
      <alignment horizontal="center" vertical="center" wrapText="1"/>
    </xf>
    <xf numFmtId="1" fontId="1" fillId="10" borderId="153" xfId="0" applyNumberFormat="1" applyFont="1" applyFill="1" applyBorder="1" applyAlignment="1">
      <alignment horizontal="center" vertical="center" wrapText="1"/>
    </xf>
    <xf numFmtId="0" fontId="8" fillId="8" borderId="4" xfId="0" applyFont="1" applyFill="1" applyBorder="1" applyAlignment="1">
      <alignment horizontal="right" vertical="center"/>
    </xf>
    <xf numFmtId="0" fontId="0" fillId="0" borderId="53" xfId="0" applyFont="1" applyBorder="1" applyAlignment="1">
      <alignment horizontal="center" vertical="center" wrapText="1"/>
    </xf>
    <xf numFmtId="0" fontId="0" fillId="0" borderId="154" xfId="0" applyFont="1" applyBorder="1" applyAlignment="1">
      <alignment horizontal="center" vertical="center" wrapText="1"/>
    </xf>
    <xf numFmtId="1" fontId="1" fillId="11" borderId="140" xfId="0" applyNumberFormat="1" applyFont="1" applyFill="1" applyBorder="1" applyAlignment="1">
      <alignment horizontal="center" vertical="center" wrapText="1"/>
    </xf>
    <xf numFmtId="1" fontId="1" fillId="11" borderId="152" xfId="0" applyNumberFormat="1" applyFont="1" applyFill="1" applyBorder="1" applyAlignment="1">
      <alignment horizontal="center" vertical="center" wrapText="1"/>
    </xf>
    <xf numFmtId="1" fontId="1" fillId="11" borderId="153" xfId="0" applyNumberFormat="1" applyFont="1" applyFill="1" applyBorder="1" applyAlignment="1">
      <alignment horizontal="center" vertical="center" wrapText="1"/>
    </xf>
    <xf numFmtId="0" fontId="0" fillId="0" borderId="55" xfId="0" applyFont="1" applyBorder="1" applyAlignment="1">
      <alignment horizontal="center" vertical="center" wrapText="1"/>
    </xf>
    <xf numFmtId="0" fontId="0" fillId="0" borderId="155" xfId="0" applyFont="1" applyBorder="1" applyAlignment="1">
      <alignment horizontal="center" vertical="center" wrapText="1"/>
    </xf>
    <xf numFmtId="0" fontId="9" fillId="8" borderId="0" xfId="0" applyFont="1" applyFill="1" applyAlignment="1">
      <alignment horizontal="center" vertical="center"/>
    </xf>
    <xf numFmtId="0" fontId="23" fillId="8" borderId="0" xfId="0" applyFont="1" applyFill="1" applyAlignment="1">
      <alignment horizontal="center"/>
    </xf>
    <xf numFmtId="0" fontId="27" fillId="8" borderId="0" xfId="0" applyFont="1" applyFill="1" applyAlignment="1">
      <alignment horizontal="center" vertical="top"/>
    </xf>
    <xf numFmtId="0" fontId="4" fillId="8" borderId="0" xfId="0" applyFont="1" applyFill="1" applyAlignment="1">
      <alignment horizontal="center" vertical="top"/>
    </xf>
    <xf numFmtId="0" fontId="23" fillId="8" borderId="0" xfId="0" applyFont="1" applyFill="1" applyAlignment="1">
      <alignment horizontal="center" vertical="top"/>
    </xf>
    <xf numFmtId="0" fontId="16" fillId="8" borderId="0" xfId="0" applyFont="1" applyFill="1" applyAlignment="1">
      <alignment horizontal="left" vertical="top" wrapText="1"/>
    </xf>
    <xf numFmtId="1" fontId="1" fillId="4" borderId="140" xfId="0" applyNumberFormat="1" applyFont="1" applyFill="1" applyBorder="1" applyAlignment="1">
      <alignment horizontal="center" vertical="center" wrapText="1"/>
    </xf>
    <xf numFmtId="1" fontId="1" fillId="4" borderId="152" xfId="0" applyNumberFormat="1" applyFont="1" applyFill="1" applyBorder="1" applyAlignment="1">
      <alignment horizontal="center" vertical="center" wrapText="1"/>
    </xf>
    <xf numFmtId="1" fontId="1" fillId="4" borderId="153" xfId="0" applyNumberFormat="1" applyFont="1" applyFill="1" applyBorder="1" applyAlignment="1">
      <alignment horizontal="center" vertical="center" wrapText="1"/>
    </xf>
    <xf numFmtId="1" fontId="1" fillId="4" borderId="60" xfId="0" applyNumberFormat="1" applyFont="1" applyFill="1" applyBorder="1" applyAlignment="1">
      <alignment horizontal="center" vertical="center" wrapText="1"/>
    </xf>
    <xf numFmtId="1" fontId="1" fillId="4" borderId="55" xfId="0" applyNumberFormat="1" applyFont="1" applyFill="1" applyBorder="1" applyAlignment="1">
      <alignment horizontal="center" vertical="center" wrapText="1"/>
    </xf>
    <xf numFmtId="1" fontId="1" fillId="4" borderId="58" xfId="0" applyNumberFormat="1" applyFont="1" applyFill="1" applyBorder="1" applyAlignment="1">
      <alignment horizontal="center" vertical="center" wrapText="1"/>
    </xf>
    <xf numFmtId="0" fontId="28" fillId="8" borderId="0" xfId="0" applyFont="1" applyFill="1" applyAlignment="1">
      <alignment horizontal="right" vertical="top"/>
    </xf>
    <xf numFmtId="1" fontId="1" fillId="8" borderId="54" xfId="0" applyNumberFormat="1" applyFont="1" applyFill="1" applyBorder="1" applyAlignment="1">
      <alignment horizontal="left" vertical="center" wrapText="1"/>
    </xf>
    <xf numFmtId="1" fontId="1" fillId="8" borderId="53" xfId="0" applyNumberFormat="1" applyFont="1" applyFill="1" applyBorder="1" applyAlignment="1">
      <alignment horizontal="left" vertical="center" wrapText="1"/>
    </xf>
    <xf numFmtId="1" fontId="1" fillId="8" borderId="55" xfId="0" applyNumberFormat="1" applyFont="1" applyFill="1" applyBorder="1" applyAlignment="1">
      <alignment horizontal="left" vertical="center" wrapText="1"/>
    </xf>
    <xf numFmtId="1" fontId="1" fillId="8" borderId="11" xfId="0" applyNumberFormat="1" applyFont="1" applyFill="1" applyBorder="1" applyAlignment="1">
      <alignment horizontal="left" vertical="center" wrapText="1"/>
    </xf>
    <xf numFmtId="1" fontId="1" fillId="8" borderId="6" xfId="0" applyNumberFormat="1" applyFont="1" applyFill="1" applyBorder="1" applyAlignment="1">
      <alignment horizontal="left" vertical="center" wrapText="1"/>
    </xf>
    <xf numFmtId="1" fontId="1" fillId="8" borderId="7" xfId="0" applyNumberFormat="1" applyFont="1" applyFill="1" applyBorder="1" applyAlignment="1">
      <alignment horizontal="left" vertical="center" wrapText="1"/>
    </xf>
    <xf numFmtId="1" fontId="1" fillId="8" borderId="18" xfId="0" applyNumberFormat="1" applyFont="1" applyFill="1" applyBorder="1" applyAlignment="1">
      <alignment horizontal="left" vertical="center" wrapText="1"/>
    </xf>
    <xf numFmtId="1" fontId="1" fillId="8" borderId="59" xfId="0" applyNumberFormat="1" applyFont="1" applyFill="1" applyBorder="1" applyAlignment="1">
      <alignment horizontal="left" vertical="center" wrapText="1"/>
    </xf>
    <xf numFmtId="1" fontId="1" fillId="8" borderId="60" xfId="0" applyNumberFormat="1" applyFont="1" applyFill="1" applyBorder="1" applyAlignment="1">
      <alignment horizontal="left" vertical="center" wrapText="1"/>
    </xf>
    <xf numFmtId="0" fontId="1" fillId="8" borderId="21" xfId="0" applyFont="1" applyFill="1" applyBorder="1" applyAlignment="1">
      <alignment horizontal="center" vertical="center"/>
    </xf>
    <xf numFmtId="0" fontId="1" fillId="8" borderId="159" xfId="0" applyFont="1" applyFill="1" applyBorder="1" applyAlignment="1">
      <alignment horizontal="center" vertical="center"/>
    </xf>
    <xf numFmtId="0" fontId="1" fillId="8" borderId="93" xfId="0" applyFont="1" applyFill="1" applyBorder="1" applyAlignment="1">
      <alignment horizontal="center" vertical="center"/>
    </xf>
    <xf numFmtId="0" fontId="1" fillId="0" borderId="180" xfId="0" applyFont="1" applyBorder="1" applyAlignment="1">
      <alignment horizontal="center" vertical="center" wrapText="1"/>
    </xf>
    <xf numFmtId="0" fontId="1" fillId="0" borderId="181" xfId="0" applyFont="1" applyBorder="1" applyAlignment="1">
      <alignment horizontal="center" vertical="center" wrapText="1"/>
    </xf>
    <xf numFmtId="0" fontId="1" fillId="0" borderId="182" xfId="0" applyFont="1" applyBorder="1" applyAlignment="1">
      <alignment horizontal="center" vertical="center" wrapText="1"/>
    </xf>
    <xf numFmtId="1" fontId="1" fillId="10" borderId="18" xfId="0" applyNumberFormat="1" applyFont="1" applyFill="1" applyBorder="1" applyAlignment="1">
      <alignment horizontal="center" vertical="center" wrapText="1"/>
    </xf>
    <xf numFmtId="1" fontId="1" fillId="10" borderId="54" xfId="0" applyNumberFormat="1" applyFont="1" applyFill="1" applyBorder="1" applyAlignment="1">
      <alignment horizontal="center" vertical="center" wrapText="1"/>
    </xf>
    <xf numFmtId="1" fontId="1" fillId="10" borderId="56" xfId="0" applyNumberFormat="1" applyFont="1" applyFill="1" applyBorder="1" applyAlignment="1">
      <alignment horizontal="center" vertical="center" wrapText="1"/>
    </xf>
    <xf numFmtId="1" fontId="1" fillId="11" borderId="59" xfId="0" applyNumberFormat="1" applyFont="1" applyFill="1" applyBorder="1" applyAlignment="1">
      <alignment horizontal="center" vertical="center" wrapText="1"/>
    </xf>
    <xf numFmtId="1" fontId="1" fillId="11" borderId="53" xfId="0" applyNumberFormat="1" applyFont="1" applyFill="1" applyBorder="1" applyAlignment="1">
      <alignment horizontal="center" vertical="center" wrapText="1"/>
    </xf>
    <xf numFmtId="1" fontId="1" fillId="11" borderId="57" xfId="0" applyNumberFormat="1" applyFont="1" applyFill="1" applyBorder="1" applyAlignment="1">
      <alignment horizontal="center" vertical="center" wrapText="1"/>
    </xf>
    <xf numFmtId="1" fontId="1" fillId="8" borderId="56" xfId="0" applyNumberFormat="1" applyFont="1" applyFill="1" applyBorder="1" applyAlignment="1">
      <alignment horizontal="left" vertical="center" wrapText="1"/>
    </xf>
    <xf numFmtId="1" fontId="1" fillId="8" borderId="57" xfId="0" applyNumberFormat="1" applyFont="1" applyFill="1" applyBorder="1" applyAlignment="1">
      <alignment horizontal="left" vertical="center" wrapText="1"/>
    </xf>
    <xf numFmtId="1" fontId="1" fillId="8" borderId="58" xfId="0" applyNumberFormat="1" applyFont="1" applyFill="1" applyBorder="1" applyAlignment="1">
      <alignment horizontal="left" vertical="center" wrapText="1"/>
    </xf>
    <xf numFmtId="0" fontId="10" fillId="10" borderId="0" xfId="0" applyFont="1" applyFill="1" applyAlignment="1">
      <alignment horizontal="center"/>
    </xf>
    <xf numFmtId="0" fontId="23" fillId="8" borderId="0" xfId="0" applyFont="1" applyFill="1" applyAlignment="1">
      <alignment horizontal="center" vertical="center"/>
    </xf>
    <xf numFmtId="0" fontId="23" fillId="8" borderId="0" xfId="0" applyFont="1" applyFill="1" applyBorder="1" applyAlignment="1">
      <alignment horizontal="center" vertical="center"/>
    </xf>
    <xf numFmtId="0" fontId="12" fillId="8" borderId="0" xfId="0" applyFont="1" applyFill="1" applyAlignment="1">
      <alignment horizontal="center"/>
    </xf>
    <xf numFmtId="1" fontId="1" fillId="8" borderId="85" xfId="0" applyNumberFormat="1" applyFont="1" applyFill="1" applyBorder="1" applyAlignment="1">
      <alignment horizontal="left" vertical="center" wrapText="1"/>
    </xf>
    <xf numFmtId="1" fontId="1" fillId="8" borderId="86" xfId="0" applyNumberFormat="1" applyFont="1" applyFill="1" applyBorder="1" applyAlignment="1">
      <alignment horizontal="left" vertical="center" wrapText="1"/>
    </xf>
    <xf numFmtId="1" fontId="1" fillId="8" borderId="87" xfId="0" applyNumberFormat="1" applyFont="1" applyFill="1" applyBorder="1" applyAlignment="1">
      <alignment horizontal="left" vertical="center" wrapText="1"/>
    </xf>
    <xf numFmtId="0" fontId="10" fillId="10" borderId="0" xfId="0" applyFont="1" applyFill="1" applyAlignment="1">
      <alignment horizontal="center" vertical="center"/>
    </xf>
    <xf numFmtId="1" fontId="1" fillId="8" borderId="11" xfId="0" applyNumberFormat="1" applyFont="1" applyFill="1" applyBorder="1" applyAlignment="1">
      <alignment horizontal="center" vertical="center" wrapText="1"/>
    </xf>
    <xf numFmtId="1" fontId="1" fillId="8" borderId="6" xfId="0" applyNumberFormat="1" applyFont="1" applyFill="1" applyBorder="1" applyAlignment="1">
      <alignment horizontal="center" vertical="center" wrapText="1"/>
    </xf>
    <xf numFmtId="1" fontId="1" fillId="8" borderId="7" xfId="0" applyNumberFormat="1" applyFont="1" applyFill="1" applyBorder="1" applyAlignment="1">
      <alignment horizontal="center" vertical="center" wrapText="1"/>
    </xf>
    <xf numFmtId="1" fontId="1" fillId="8" borderId="18" xfId="0" applyNumberFormat="1" applyFont="1" applyFill="1" applyBorder="1" applyAlignment="1">
      <alignment horizontal="center" vertical="center" wrapText="1"/>
    </xf>
    <xf numFmtId="1" fontId="1" fillId="8" borderId="59" xfId="0" applyNumberFormat="1" applyFont="1" applyFill="1" applyBorder="1" applyAlignment="1">
      <alignment horizontal="center" vertical="center" wrapText="1"/>
    </xf>
    <xf numFmtId="1" fontId="1" fillId="8" borderId="60" xfId="0" applyNumberFormat="1" applyFont="1" applyFill="1" applyBorder="1" applyAlignment="1">
      <alignment horizontal="center" vertical="center" wrapText="1"/>
    </xf>
    <xf numFmtId="1" fontId="1" fillId="8" borderId="54" xfId="0" applyNumberFormat="1" applyFont="1" applyFill="1" applyBorder="1" applyAlignment="1">
      <alignment horizontal="center" vertical="center" wrapText="1"/>
    </xf>
    <xf numFmtId="1" fontId="1" fillId="8" borderId="53" xfId="0" applyNumberFormat="1" applyFont="1" applyFill="1" applyBorder="1" applyAlignment="1">
      <alignment horizontal="center" vertical="center" wrapText="1"/>
    </xf>
    <xf numFmtId="1" fontId="1" fillId="8" borderId="55" xfId="0" applyNumberFormat="1" applyFont="1" applyFill="1" applyBorder="1" applyAlignment="1">
      <alignment horizontal="center" vertical="center" wrapText="1"/>
    </xf>
    <xf numFmtId="1" fontId="1" fillId="8" borderId="54" xfId="0" applyNumberFormat="1" applyFont="1" applyFill="1" applyBorder="1" applyAlignment="1">
      <alignment horizontal="right" vertical="center" wrapText="1"/>
    </xf>
    <xf numFmtId="1" fontId="1" fillId="8" borderId="53" xfId="0" applyNumberFormat="1" applyFont="1" applyFill="1" applyBorder="1" applyAlignment="1">
      <alignment horizontal="right" vertical="center" wrapText="1"/>
    </xf>
    <xf numFmtId="1" fontId="1" fillId="8" borderId="55" xfId="0" applyNumberFormat="1" applyFont="1" applyFill="1" applyBorder="1" applyAlignment="1">
      <alignment horizontal="right" vertical="center" wrapText="1"/>
    </xf>
    <xf numFmtId="0" fontId="1" fillId="8" borderId="0" xfId="0" applyFont="1" applyFill="1" applyAlignment="1">
      <alignment horizontal="right"/>
    </xf>
    <xf numFmtId="0" fontId="1" fillId="8" borderId="126" xfId="0" applyFont="1" applyFill="1" applyBorder="1" applyAlignment="1">
      <alignment horizontal="center" vertical="center" wrapText="1"/>
    </xf>
    <xf numFmtId="0" fontId="1" fillId="8" borderId="141" xfId="0" applyFont="1" applyFill="1" applyBorder="1" applyAlignment="1">
      <alignment horizontal="center" vertical="center" wrapText="1"/>
    </xf>
    <xf numFmtId="0" fontId="1" fillId="8" borderId="19"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19" xfId="0" applyFont="1" applyFill="1" applyBorder="1" applyAlignment="1">
      <alignment horizontal="center"/>
    </xf>
    <xf numFmtId="0" fontId="1" fillId="8" borderId="20" xfId="0" applyFont="1" applyFill="1" applyBorder="1" applyAlignment="1">
      <alignment horizontal="center"/>
    </xf>
    <xf numFmtId="0" fontId="1" fillId="8" borderId="169" xfId="0" applyFont="1" applyFill="1" applyBorder="1" applyAlignment="1">
      <alignment horizontal="center" vertical="center" wrapText="1"/>
    </xf>
    <xf numFmtId="0" fontId="1" fillId="8" borderId="170" xfId="0" applyFont="1" applyFill="1" applyBorder="1" applyAlignment="1">
      <alignment horizontal="center" vertical="center" wrapText="1"/>
    </xf>
    <xf numFmtId="1" fontId="1" fillId="8" borderId="85" xfId="0" applyNumberFormat="1" applyFont="1" applyFill="1" applyBorder="1" applyAlignment="1">
      <alignment horizontal="center" vertical="center" wrapText="1"/>
    </xf>
    <xf numFmtId="1" fontId="1" fillId="8" borderId="86" xfId="0" applyNumberFormat="1" applyFont="1" applyFill="1" applyBorder="1" applyAlignment="1">
      <alignment horizontal="center" vertical="center" wrapText="1"/>
    </xf>
    <xf numFmtId="1" fontId="1" fillId="8" borderId="87" xfId="0" applyNumberFormat="1" applyFont="1" applyFill="1" applyBorder="1" applyAlignment="1">
      <alignment horizontal="center" vertical="center" wrapText="1"/>
    </xf>
    <xf numFmtId="1" fontId="1" fillId="8" borderId="56" xfId="0" applyNumberFormat="1" applyFont="1" applyFill="1" applyBorder="1" applyAlignment="1">
      <alignment horizontal="center" vertical="center" wrapText="1"/>
    </xf>
    <xf numFmtId="1" fontId="1" fillId="8" borderId="57" xfId="0" applyNumberFormat="1" applyFont="1" applyFill="1" applyBorder="1" applyAlignment="1">
      <alignment horizontal="center" vertical="center" wrapText="1"/>
    </xf>
    <xf numFmtId="1" fontId="1" fillId="8" borderId="58" xfId="0" applyNumberFormat="1" applyFont="1" applyFill="1" applyBorder="1" applyAlignment="1">
      <alignment horizontal="center" vertical="center" wrapText="1"/>
    </xf>
    <xf numFmtId="0" fontId="12" fillId="8" borderId="0" xfId="0" applyFont="1" applyFill="1" applyAlignment="1">
      <alignment horizontal="center" vertical="center"/>
    </xf>
    <xf numFmtId="0" fontId="16" fillId="8" borderId="0" xfId="0" applyFont="1" applyFill="1" applyAlignment="1">
      <alignment horizontal="left" vertical="center" wrapText="1"/>
    </xf>
  </cellXfs>
  <cellStyles count="2">
    <cellStyle name="Normal" xfId="0" builtinId="0"/>
    <cellStyle name="Pourcentage" xfId="1" builtinId="5"/>
  </cellStyles>
  <dxfs count="355">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FFFF99"/>
        </patternFill>
      </fill>
    </dxf>
    <dxf>
      <fill>
        <patternFill>
          <bgColor rgb="FFFFFF99"/>
        </patternFill>
      </fill>
    </dxf>
    <dxf>
      <fill>
        <patternFill>
          <bgColor rgb="FFFFFF99"/>
        </patternFill>
      </fill>
    </dxf>
    <dxf>
      <fill>
        <patternFill>
          <bgColor theme="9" tint="0.59996337778862885"/>
        </patternFill>
      </fill>
    </dxf>
    <dxf>
      <fill>
        <patternFill>
          <bgColor theme="6" tint="0.39994506668294322"/>
        </patternFill>
      </fill>
    </dxf>
    <dxf>
      <fill>
        <patternFill>
          <bgColor theme="9" tint="0.59996337778862885"/>
        </patternFill>
      </fill>
    </dxf>
  </dxfs>
  <tableStyles count="0" defaultTableStyle="TableStyleMedium2" defaultPivotStyle="PivotStyleLight16"/>
  <colors>
    <mruColors>
      <color rgb="FFF5FFE1"/>
      <color rgb="FFF8FFEB"/>
      <color rgb="FFEEFFCD"/>
      <color rgb="FFE6FFB3"/>
      <color rgb="FFF0FFD1"/>
      <color rgb="FFCCFF66"/>
      <color rgb="FFCC9900"/>
      <color rgb="FF66FF33"/>
      <color rgb="FFA3E7FF"/>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20.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287967617233384"/>
          <c:y val="0.12308657233684535"/>
          <c:w val="0.82559168763698354"/>
          <c:h val="0.66750589834368312"/>
        </c:manualLayout>
      </c:layout>
      <c:barChart>
        <c:barDir val="col"/>
        <c:grouping val="clustered"/>
        <c:varyColors val="0"/>
        <c:ser>
          <c:idx val="6"/>
          <c:order val="0"/>
          <c:tx>
            <c:strRef>
              <c:f>SAISIE!$D$186</c:f>
              <c:strCache>
                <c:ptCount val="1"/>
                <c:pt idx="0">
                  <c:v>Rdt moyen</c:v>
                </c:pt>
              </c:strCache>
            </c:strRef>
          </c:tx>
          <c:spPr>
            <a:solidFill>
              <a:schemeClr val="accent1">
                <a:lumMod val="60000"/>
              </a:schemeClr>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SAISIE!$E$185:$G$185</c:f>
              <c:numCache>
                <c:formatCode>General</c:formatCode>
                <c:ptCount val="3"/>
                <c:pt idx="0">
                  <c:v>0</c:v>
                </c:pt>
                <c:pt idx="1">
                  <c:v>0</c:v>
                </c:pt>
                <c:pt idx="2">
                  <c:v>0</c:v>
                </c:pt>
              </c:numCache>
            </c:numRef>
          </c:cat>
          <c:val>
            <c:numRef>
              <c:f>SAISIE!$E$186:$G$186</c:f>
              <c:numCache>
                <c:formatCode>0</c:formatCode>
                <c:ptCount val="3"/>
                <c:pt idx="0">
                  <c:v>0</c:v>
                </c:pt>
                <c:pt idx="1">
                  <c:v>0</c:v>
                </c:pt>
                <c:pt idx="2">
                  <c:v>0</c:v>
                </c:pt>
              </c:numCache>
            </c:numRef>
          </c:val>
          <c:extLst>
            <c:ext xmlns:c16="http://schemas.microsoft.com/office/drawing/2014/chart" uri="{C3380CC4-5D6E-409C-BE32-E72D297353CC}">
              <c16:uniqueId val="{00000000-7492-46F3-B4C3-E22875D7AA2B}"/>
            </c:ext>
          </c:extLst>
        </c:ser>
        <c:dLbls>
          <c:showLegendKey val="0"/>
          <c:showVal val="0"/>
          <c:showCatName val="0"/>
          <c:showSerName val="0"/>
          <c:showPercent val="0"/>
          <c:showBubbleSize val="0"/>
        </c:dLbls>
        <c:gapWidth val="100"/>
        <c:axId val="542265592"/>
        <c:axId val="542262640"/>
      </c:barChart>
      <c:lineChart>
        <c:grouping val="standard"/>
        <c:varyColors val="0"/>
        <c:ser>
          <c:idx val="8"/>
          <c:order val="1"/>
          <c:tx>
            <c:strRef>
              <c:f>SAISIE!$D$187</c:f>
              <c:strCache>
                <c:ptCount val="1"/>
                <c:pt idx="0">
                  <c:v>Rdt min</c:v>
                </c:pt>
              </c:strCache>
            </c:strRef>
          </c:tx>
          <c:spPr>
            <a:ln w="28575" cap="rnd">
              <a:noFill/>
              <a:round/>
            </a:ln>
            <a:effectLst/>
          </c:spPr>
          <c:marker>
            <c:symbol val="square"/>
            <c:size val="10"/>
            <c:spPr>
              <a:solidFill>
                <a:srgbClr val="FF0000"/>
              </a:solidFill>
              <a:ln w="9525">
                <a:solidFill>
                  <a:srgbClr val="FF0000"/>
                </a:solidFill>
              </a:ln>
              <a:effectLst/>
            </c:spPr>
          </c:marker>
          <c:dLbls>
            <c:spPr>
              <a:solidFill>
                <a:schemeClr val="bg1"/>
              </a:solidFill>
              <a:ln w="25400">
                <a:solidFill>
                  <a:srgbClr val="FF0000"/>
                </a:solid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SAISIE!$E$185:$G$185</c:f>
              <c:numCache>
                <c:formatCode>General</c:formatCode>
                <c:ptCount val="3"/>
                <c:pt idx="0">
                  <c:v>0</c:v>
                </c:pt>
                <c:pt idx="1">
                  <c:v>0</c:v>
                </c:pt>
                <c:pt idx="2">
                  <c:v>0</c:v>
                </c:pt>
              </c:numCache>
            </c:numRef>
          </c:cat>
          <c:val>
            <c:numRef>
              <c:f>SAISIE!$E$187:$G$187</c:f>
              <c:numCache>
                <c:formatCode>0</c:formatCode>
                <c:ptCount val="3"/>
                <c:pt idx="0">
                  <c:v>0</c:v>
                </c:pt>
                <c:pt idx="1">
                  <c:v>0</c:v>
                </c:pt>
                <c:pt idx="2">
                  <c:v>0</c:v>
                </c:pt>
              </c:numCache>
            </c:numRef>
          </c:val>
          <c:smooth val="0"/>
          <c:extLst>
            <c:ext xmlns:c16="http://schemas.microsoft.com/office/drawing/2014/chart" uri="{C3380CC4-5D6E-409C-BE32-E72D297353CC}">
              <c16:uniqueId val="{00000001-7492-46F3-B4C3-E22875D7AA2B}"/>
            </c:ext>
          </c:extLst>
        </c:ser>
        <c:ser>
          <c:idx val="10"/>
          <c:order val="2"/>
          <c:tx>
            <c:strRef>
              <c:f>SAISIE!$D$188</c:f>
              <c:strCache>
                <c:ptCount val="1"/>
                <c:pt idx="0">
                  <c:v>Rdt max</c:v>
                </c:pt>
              </c:strCache>
            </c:strRef>
          </c:tx>
          <c:spPr>
            <a:ln w="28575" cap="rnd">
              <a:noFill/>
              <a:round/>
            </a:ln>
            <a:effectLst/>
          </c:spPr>
          <c:marker>
            <c:symbol val="circle"/>
            <c:size val="10"/>
            <c:spPr>
              <a:solidFill>
                <a:srgbClr val="92D050"/>
              </a:solidFill>
              <a:ln w="9525">
                <a:solidFill>
                  <a:srgbClr val="92D050"/>
                </a:solidFill>
              </a:ln>
              <a:effectLst/>
            </c:spPr>
          </c:marker>
          <c:dLbls>
            <c:spPr>
              <a:solidFill>
                <a:schemeClr val="bg1"/>
              </a:solidFill>
              <a:ln w="25400">
                <a:solidFill>
                  <a:srgbClr val="92D050"/>
                </a:solid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SAISIE!$E$185:$G$185</c:f>
              <c:numCache>
                <c:formatCode>General</c:formatCode>
                <c:ptCount val="3"/>
                <c:pt idx="0">
                  <c:v>0</c:v>
                </c:pt>
                <c:pt idx="1">
                  <c:v>0</c:v>
                </c:pt>
                <c:pt idx="2">
                  <c:v>0</c:v>
                </c:pt>
              </c:numCache>
            </c:numRef>
          </c:cat>
          <c:val>
            <c:numRef>
              <c:f>SAISIE!$E$188:$G$188</c:f>
              <c:numCache>
                <c:formatCode>0</c:formatCode>
                <c:ptCount val="3"/>
                <c:pt idx="0">
                  <c:v>0</c:v>
                </c:pt>
                <c:pt idx="1">
                  <c:v>0</c:v>
                </c:pt>
                <c:pt idx="2">
                  <c:v>0</c:v>
                </c:pt>
              </c:numCache>
            </c:numRef>
          </c:val>
          <c:smooth val="0"/>
          <c:extLst>
            <c:ext xmlns:c16="http://schemas.microsoft.com/office/drawing/2014/chart" uri="{C3380CC4-5D6E-409C-BE32-E72D297353CC}">
              <c16:uniqueId val="{00000002-7492-46F3-B4C3-E22875D7AA2B}"/>
            </c:ext>
          </c:extLst>
        </c:ser>
        <c:ser>
          <c:idx val="0"/>
          <c:order val="3"/>
          <c:tx>
            <c:strRef>
              <c:f>SAISIE!$D$189</c:f>
              <c:strCache>
                <c:ptCount val="1"/>
              </c:strCache>
            </c:strRef>
          </c:tx>
          <c:spPr>
            <a:ln w="25400" cap="rnd">
              <a:noFill/>
              <a:round/>
            </a:ln>
            <a:effectLst/>
          </c:spPr>
          <c:marker>
            <c:symbol val="circle"/>
            <c:size val="5"/>
            <c:spPr>
              <a:noFill/>
              <a:ln w="9525">
                <a:noFill/>
              </a:ln>
              <a:effectLst/>
            </c:spPr>
          </c:marker>
          <c:cat>
            <c:numRef>
              <c:f>SAISIE!$E$185:$G$185</c:f>
              <c:numCache>
                <c:formatCode>General</c:formatCode>
                <c:ptCount val="3"/>
                <c:pt idx="0">
                  <c:v>0</c:v>
                </c:pt>
                <c:pt idx="1">
                  <c:v>0</c:v>
                </c:pt>
                <c:pt idx="2">
                  <c:v>0</c:v>
                </c:pt>
              </c:numCache>
            </c:numRef>
          </c:cat>
          <c:val>
            <c:numRef>
              <c:f>SAISIE!$E$189:$G$189</c:f>
              <c:numCache>
                <c:formatCode>0</c:formatCode>
                <c:ptCount val="3"/>
                <c:pt idx="0">
                  <c:v>0</c:v>
                </c:pt>
                <c:pt idx="1">
                  <c:v>0</c:v>
                </c:pt>
                <c:pt idx="2">
                  <c:v>0</c:v>
                </c:pt>
              </c:numCache>
            </c:numRef>
          </c:val>
          <c:smooth val="0"/>
          <c:extLst>
            <c:ext xmlns:c16="http://schemas.microsoft.com/office/drawing/2014/chart" uri="{C3380CC4-5D6E-409C-BE32-E72D297353CC}">
              <c16:uniqueId val="{00000003-7492-46F3-B4C3-E22875D7AA2B}"/>
            </c:ext>
          </c:extLst>
        </c:ser>
        <c:dLbls>
          <c:showLegendKey val="0"/>
          <c:showVal val="0"/>
          <c:showCatName val="0"/>
          <c:showSerName val="0"/>
          <c:showPercent val="0"/>
          <c:showBubbleSize val="0"/>
        </c:dLbls>
        <c:marker val="1"/>
        <c:smooth val="0"/>
        <c:axId val="542265592"/>
        <c:axId val="542262640"/>
      </c:lineChart>
      <c:catAx>
        <c:axId val="542265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542262640"/>
        <c:crosses val="autoZero"/>
        <c:auto val="1"/>
        <c:lblAlgn val="ctr"/>
        <c:lblOffset val="100"/>
        <c:noMultiLvlLbl val="0"/>
      </c:catAx>
      <c:valAx>
        <c:axId val="542262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542265592"/>
        <c:crosses val="autoZero"/>
        <c:crossBetween val="between"/>
      </c:valAx>
      <c:spPr>
        <a:noFill/>
        <a:ln>
          <a:noFill/>
        </a:ln>
        <a:effectLst/>
      </c:spPr>
    </c:plotArea>
    <c:plotVisOnly val="0"/>
    <c:dispBlanksAs val="gap"/>
    <c:showDLblsOverMax val="0"/>
    <c:extLst/>
  </c:chart>
  <c:spPr>
    <a:noFill/>
    <a:ln w="9525" cap="flat" cmpd="sng" algn="ctr">
      <a:solidFill>
        <a:sysClr val="window" lastClr="FFFFFF">
          <a:lumMod val="65000"/>
        </a:sysClr>
      </a:solidFill>
      <a:round/>
    </a:ln>
    <a:effectLst/>
  </c:spPr>
  <c:txPr>
    <a:bodyPr/>
    <a:lstStyle/>
    <a:p>
      <a:pPr>
        <a:defRPr/>
      </a:pPr>
      <a:endParaRPr lang="fr-FR"/>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fr-FR">
                <a:solidFill>
                  <a:schemeClr val="tx1"/>
                </a:solidFill>
              </a:rPr>
              <a:t>Marge (€/hectare)</a:t>
            </a:r>
          </a:p>
        </c:rich>
      </c:tx>
      <c:layout>
        <c:manualLayout>
          <c:xMode val="edge"/>
          <c:yMode val="edge"/>
          <c:x val="0.35139787012700274"/>
          <c:y val="3.0379599070623478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fr-FR"/>
        </a:p>
      </c:txPr>
    </c:title>
    <c:autoTitleDeleted val="0"/>
    <c:plotArea>
      <c:layout>
        <c:manualLayout>
          <c:layoutTarget val="inner"/>
          <c:xMode val="edge"/>
          <c:yMode val="edge"/>
          <c:x val="0.16694316150787017"/>
          <c:y val="0.13213546813407306"/>
          <c:w val="0.79225834377711812"/>
          <c:h val="0.65753911912920726"/>
        </c:manualLayout>
      </c:layout>
      <c:barChart>
        <c:barDir val="col"/>
        <c:grouping val="clustered"/>
        <c:varyColors val="0"/>
        <c:ser>
          <c:idx val="6"/>
          <c:order val="0"/>
          <c:tx>
            <c:strRef>
              <c:f>SAISIE!$K$192</c:f>
              <c:strCache>
                <c:ptCount val="1"/>
                <c:pt idx="0">
                  <c:v>Rdt moyen</c:v>
                </c:pt>
              </c:strCache>
            </c:strRef>
          </c:tx>
          <c:spPr>
            <a:solidFill>
              <a:srgbClr val="4BACC6">
                <a:lumMod val="75000"/>
              </a:srgbClr>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7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SAISIE!$L$191:$N$191</c:f>
              <c:numCache>
                <c:formatCode>General</c:formatCode>
                <c:ptCount val="3"/>
                <c:pt idx="0">
                  <c:v>0</c:v>
                </c:pt>
                <c:pt idx="1">
                  <c:v>0</c:v>
                </c:pt>
                <c:pt idx="2">
                  <c:v>0</c:v>
                </c:pt>
              </c:numCache>
            </c:numRef>
          </c:cat>
          <c:val>
            <c:numRef>
              <c:f>SAISIE!$L$192:$N$192</c:f>
              <c:numCache>
                <c:formatCode>0</c:formatCode>
                <c:ptCount val="3"/>
                <c:pt idx="0">
                  <c:v>0</c:v>
                </c:pt>
                <c:pt idx="1">
                  <c:v>0</c:v>
                </c:pt>
                <c:pt idx="2">
                  <c:v>0</c:v>
                </c:pt>
              </c:numCache>
            </c:numRef>
          </c:val>
          <c:extLst>
            <c:ext xmlns:c16="http://schemas.microsoft.com/office/drawing/2014/chart" uri="{C3380CC4-5D6E-409C-BE32-E72D297353CC}">
              <c16:uniqueId val="{00000000-DB65-4B9C-A6F8-B319FD85C0FA}"/>
            </c:ext>
          </c:extLst>
        </c:ser>
        <c:dLbls>
          <c:showLegendKey val="0"/>
          <c:showVal val="0"/>
          <c:showCatName val="0"/>
          <c:showSerName val="0"/>
          <c:showPercent val="0"/>
          <c:showBubbleSize val="0"/>
        </c:dLbls>
        <c:gapWidth val="100"/>
        <c:axId val="542265592"/>
        <c:axId val="542262640"/>
      </c:barChart>
      <c:lineChart>
        <c:grouping val="standard"/>
        <c:varyColors val="0"/>
        <c:ser>
          <c:idx val="8"/>
          <c:order val="1"/>
          <c:tx>
            <c:strRef>
              <c:f>SAISIE!$K$193</c:f>
              <c:strCache>
                <c:ptCount val="1"/>
                <c:pt idx="0">
                  <c:v>Rdt min</c:v>
                </c:pt>
              </c:strCache>
            </c:strRef>
          </c:tx>
          <c:spPr>
            <a:ln w="28575" cap="rnd">
              <a:noFill/>
              <a:round/>
            </a:ln>
            <a:effectLst/>
          </c:spPr>
          <c:marker>
            <c:symbol val="square"/>
            <c:size val="10"/>
            <c:spPr>
              <a:solidFill>
                <a:srgbClr val="FF0000"/>
              </a:solidFill>
              <a:ln w="9525">
                <a:solidFill>
                  <a:srgbClr val="FF0000"/>
                </a:solidFill>
              </a:ln>
              <a:effectLst/>
            </c:spPr>
          </c:marker>
          <c:dLbls>
            <c:spPr>
              <a:solidFill>
                <a:schemeClr val="bg1"/>
              </a:solidFill>
              <a:ln w="25400">
                <a:solidFill>
                  <a:srgbClr val="FF0000"/>
                </a:solid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SAISIE!$L$191:$N$191</c:f>
              <c:numCache>
                <c:formatCode>General</c:formatCode>
                <c:ptCount val="3"/>
                <c:pt idx="0">
                  <c:v>0</c:v>
                </c:pt>
                <c:pt idx="1">
                  <c:v>0</c:v>
                </c:pt>
                <c:pt idx="2">
                  <c:v>0</c:v>
                </c:pt>
              </c:numCache>
            </c:numRef>
          </c:cat>
          <c:val>
            <c:numRef>
              <c:f>SAISIE!$L$193:$N$193</c:f>
              <c:numCache>
                <c:formatCode>0</c:formatCode>
                <c:ptCount val="3"/>
                <c:pt idx="0">
                  <c:v>0</c:v>
                </c:pt>
                <c:pt idx="1">
                  <c:v>0</c:v>
                </c:pt>
                <c:pt idx="2">
                  <c:v>0</c:v>
                </c:pt>
              </c:numCache>
            </c:numRef>
          </c:val>
          <c:smooth val="0"/>
          <c:extLst>
            <c:ext xmlns:c16="http://schemas.microsoft.com/office/drawing/2014/chart" uri="{C3380CC4-5D6E-409C-BE32-E72D297353CC}">
              <c16:uniqueId val="{00000001-DB65-4B9C-A6F8-B319FD85C0FA}"/>
            </c:ext>
          </c:extLst>
        </c:ser>
        <c:ser>
          <c:idx val="10"/>
          <c:order val="2"/>
          <c:tx>
            <c:strRef>
              <c:f>SAISIE!$K$194</c:f>
              <c:strCache>
                <c:ptCount val="1"/>
                <c:pt idx="0">
                  <c:v>Rdt max</c:v>
                </c:pt>
              </c:strCache>
            </c:strRef>
          </c:tx>
          <c:spPr>
            <a:ln w="28575" cap="rnd">
              <a:noFill/>
              <a:round/>
            </a:ln>
            <a:effectLst/>
          </c:spPr>
          <c:marker>
            <c:symbol val="circle"/>
            <c:size val="10"/>
            <c:spPr>
              <a:solidFill>
                <a:srgbClr val="92D050"/>
              </a:solidFill>
              <a:ln w="9525">
                <a:solidFill>
                  <a:srgbClr val="92D050"/>
                </a:solidFill>
              </a:ln>
              <a:effectLst/>
            </c:spPr>
          </c:marker>
          <c:dLbls>
            <c:spPr>
              <a:solidFill>
                <a:schemeClr val="bg1"/>
              </a:solidFill>
              <a:ln w="25400">
                <a:solidFill>
                  <a:srgbClr val="92D050"/>
                </a:solid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SAISIE!$L$191:$N$191</c:f>
              <c:numCache>
                <c:formatCode>General</c:formatCode>
                <c:ptCount val="3"/>
                <c:pt idx="0">
                  <c:v>0</c:v>
                </c:pt>
                <c:pt idx="1">
                  <c:v>0</c:v>
                </c:pt>
                <c:pt idx="2">
                  <c:v>0</c:v>
                </c:pt>
              </c:numCache>
            </c:numRef>
          </c:cat>
          <c:val>
            <c:numRef>
              <c:f>SAISIE!$L$194:$N$194</c:f>
              <c:numCache>
                <c:formatCode>0</c:formatCode>
                <c:ptCount val="3"/>
                <c:pt idx="0">
                  <c:v>0</c:v>
                </c:pt>
                <c:pt idx="1">
                  <c:v>0</c:v>
                </c:pt>
                <c:pt idx="2">
                  <c:v>0</c:v>
                </c:pt>
              </c:numCache>
            </c:numRef>
          </c:val>
          <c:smooth val="0"/>
          <c:extLst>
            <c:ext xmlns:c16="http://schemas.microsoft.com/office/drawing/2014/chart" uri="{C3380CC4-5D6E-409C-BE32-E72D297353CC}">
              <c16:uniqueId val="{00000002-DB65-4B9C-A6F8-B319FD85C0FA}"/>
            </c:ext>
          </c:extLst>
        </c:ser>
        <c:dLbls>
          <c:showLegendKey val="0"/>
          <c:showVal val="0"/>
          <c:showCatName val="0"/>
          <c:showSerName val="0"/>
          <c:showPercent val="0"/>
          <c:showBubbleSize val="0"/>
        </c:dLbls>
        <c:marker val="1"/>
        <c:smooth val="0"/>
        <c:axId val="542265592"/>
        <c:axId val="542262640"/>
      </c:lineChart>
      <c:catAx>
        <c:axId val="542265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fr-FR"/>
          </a:p>
        </c:txPr>
        <c:crossAx val="542262640"/>
        <c:crosses val="autoZero"/>
        <c:auto val="1"/>
        <c:lblAlgn val="ctr"/>
        <c:lblOffset val="100"/>
        <c:noMultiLvlLbl val="0"/>
      </c:catAx>
      <c:valAx>
        <c:axId val="542262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fr-FR"/>
          </a:p>
        </c:txPr>
        <c:crossAx val="542265592"/>
        <c:crosses val="autoZero"/>
        <c:crossBetween val="between"/>
      </c:valAx>
      <c:spPr>
        <a:noFill/>
        <a:ln>
          <a:noFill/>
        </a:ln>
        <a:effectLst/>
      </c:spPr>
    </c:plotArea>
    <c:legend>
      <c:legendPos val="r"/>
      <c:layout>
        <c:manualLayout>
          <c:xMode val="edge"/>
          <c:yMode val="edge"/>
          <c:x val="0.13565113672614315"/>
          <c:y val="0.91894282016689977"/>
          <c:w val="0.76890880868174638"/>
          <c:h val="5.3491297680122923E-2"/>
        </c:manualLayout>
      </c:layout>
      <c:overlay val="1"/>
      <c:spPr>
        <a:solidFill>
          <a:schemeClr val="bg1"/>
        </a:solidFill>
        <a:ln>
          <a:solidFill>
            <a:schemeClr val="tx1"/>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legend>
    <c:plotVisOnly val="0"/>
    <c:dispBlanksAs val="gap"/>
    <c:showDLblsOverMax val="0"/>
    <c:extLst/>
  </c:chart>
  <c:spPr>
    <a:noFill/>
    <a:ln w="9525" cap="flat" cmpd="sng" algn="ctr">
      <a:solidFill>
        <a:sysClr val="window" lastClr="FFFFFF">
          <a:lumMod val="65000"/>
        </a:sysClr>
      </a:solidFill>
      <a:round/>
    </a:ln>
    <a:effectLst/>
  </c:spPr>
  <c:txPr>
    <a:bodyPr/>
    <a:lstStyle/>
    <a:p>
      <a:pPr>
        <a:defRPr/>
      </a:pPr>
      <a:endParaRPr lang="fr-FR"/>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76006066524007"/>
          <c:y val="0.19600733824730651"/>
          <c:w val="0.86680683384233959"/>
          <c:h val="0.68576895182815256"/>
        </c:manualLayout>
      </c:layout>
      <c:lineChart>
        <c:grouping val="standard"/>
        <c:varyColors val="0"/>
        <c:ser>
          <c:idx val="0"/>
          <c:order val="0"/>
          <c:tx>
            <c:strRef>
              <c:f>SAISIE!$C$169</c:f>
              <c:strCache>
                <c:ptCount val="1"/>
                <c:pt idx="0">
                  <c:v>Semences</c:v>
                </c:pt>
              </c:strCache>
            </c:strRef>
          </c:tx>
          <c:spPr>
            <a:ln w="28575" cap="rnd">
              <a:solidFill>
                <a:srgbClr val="C0504D">
                  <a:lumMod val="60000"/>
                  <a:lumOff val="40000"/>
                </a:srgbClr>
              </a:solidFill>
              <a:round/>
            </a:ln>
            <a:effectLst/>
          </c:spPr>
          <c:marker>
            <c:symbol val="circle"/>
            <c:size val="5"/>
            <c:spPr>
              <a:solidFill>
                <a:srgbClr val="C0504D">
                  <a:lumMod val="60000"/>
                  <a:lumOff val="40000"/>
                </a:srgbClr>
              </a:solidFill>
              <a:ln w="9525">
                <a:solidFill>
                  <a:srgbClr val="C0504D">
                    <a:lumMod val="60000"/>
                    <a:lumOff val="40000"/>
                  </a:srgbClr>
                </a:solidFill>
              </a:ln>
              <a:effectLst/>
            </c:spPr>
          </c:marker>
          <c:cat>
            <c:multiLvlStrRef>
              <c:f>SAISIE!$H$168:$J$168</c:f>
            </c:multiLvlStrRef>
          </c:cat>
          <c:val>
            <c:numRef>
              <c:f>SAISIE!$H$169:$J$169</c:f>
              <c:numCache>
                <c:formatCode>0</c:formatCode>
                <c:ptCount val="3"/>
                <c:pt idx="0">
                  <c:v>#N/A</c:v>
                </c:pt>
                <c:pt idx="1">
                  <c:v>#N/A</c:v>
                </c:pt>
                <c:pt idx="2">
                  <c:v>#N/A</c:v>
                </c:pt>
              </c:numCache>
            </c:numRef>
          </c:val>
          <c:smooth val="0"/>
          <c:extLst>
            <c:ext xmlns:c16="http://schemas.microsoft.com/office/drawing/2014/chart" uri="{C3380CC4-5D6E-409C-BE32-E72D297353CC}">
              <c16:uniqueId val="{00000000-1C48-4A13-87F9-1D117A5425AF}"/>
            </c:ext>
          </c:extLst>
        </c:ser>
        <c:ser>
          <c:idx val="1"/>
          <c:order val="1"/>
          <c:tx>
            <c:strRef>
              <c:f>SAISIE!$C$170</c:f>
              <c:strCache>
                <c:ptCount val="1"/>
                <c:pt idx="0">
                  <c:v>Engrais total</c:v>
                </c:pt>
              </c:strCache>
            </c:strRef>
          </c:tx>
          <c:spPr>
            <a:ln w="28575" cap="rnd">
              <a:solidFill>
                <a:srgbClr val="9BBB59">
                  <a:lumMod val="50000"/>
                </a:srgbClr>
              </a:solidFill>
              <a:round/>
            </a:ln>
            <a:effectLst/>
          </c:spPr>
          <c:marker>
            <c:symbol val="square"/>
            <c:size val="6"/>
            <c:spPr>
              <a:solidFill>
                <a:srgbClr val="9BBB59">
                  <a:lumMod val="50000"/>
                </a:srgbClr>
              </a:solidFill>
              <a:ln w="9525">
                <a:solidFill>
                  <a:srgbClr val="9BBB59">
                    <a:lumMod val="50000"/>
                  </a:srgbClr>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1-1C48-4A13-87F9-1D117A5425AF}"/>
                </c:ext>
              </c:extLst>
            </c:dLbl>
            <c:dLbl>
              <c:idx val="1"/>
              <c:delete val="1"/>
              <c:extLst>
                <c:ext xmlns:c15="http://schemas.microsoft.com/office/drawing/2012/chart" uri="{CE6537A1-D6FC-4f65-9D91-7224C49458BB}"/>
                <c:ext xmlns:c16="http://schemas.microsoft.com/office/drawing/2014/chart" uri="{C3380CC4-5D6E-409C-BE32-E72D297353CC}">
                  <c16:uniqueId val="{00000002-1C48-4A13-87F9-1D117A5425A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3">
                        <a:lumMod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SAISIE!$H$168:$J$168</c:f>
            </c:multiLvlStrRef>
          </c:cat>
          <c:val>
            <c:numRef>
              <c:f>SAISIE!$H$170:$J$170</c:f>
              <c:numCache>
                <c:formatCode>0</c:formatCode>
                <c:ptCount val="3"/>
                <c:pt idx="0">
                  <c:v>#N/A</c:v>
                </c:pt>
                <c:pt idx="1">
                  <c:v>#N/A</c:v>
                </c:pt>
                <c:pt idx="2">
                  <c:v>#N/A</c:v>
                </c:pt>
              </c:numCache>
            </c:numRef>
          </c:val>
          <c:smooth val="0"/>
          <c:extLst>
            <c:ext xmlns:c16="http://schemas.microsoft.com/office/drawing/2014/chart" uri="{C3380CC4-5D6E-409C-BE32-E72D297353CC}">
              <c16:uniqueId val="{00000003-1C48-4A13-87F9-1D117A5425AF}"/>
            </c:ext>
          </c:extLst>
        </c:ser>
        <c:ser>
          <c:idx val="2"/>
          <c:order val="2"/>
          <c:tx>
            <c:strRef>
              <c:f>SAISIE!$C$171</c:f>
              <c:strCache>
                <c:ptCount val="1"/>
                <c:pt idx="0">
                  <c:v>dont Azote simple</c:v>
                </c:pt>
              </c:strCache>
            </c:strRef>
          </c:tx>
          <c:spPr>
            <a:ln w="28575" cap="rnd">
              <a:solidFill>
                <a:srgbClr val="9BBB59"/>
              </a:solidFill>
              <a:prstDash val="dash"/>
              <a:round/>
            </a:ln>
            <a:effectLst/>
          </c:spPr>
          <c:marker>
            <c:symbol val="diamond"/>
            <c:size val="7"/>
            <c:spPr>
              <a:solidFill>
                <a:srgbClr val="9BBB59"/>
              </a:solidFill>
              <a:ln w="9525">
                <a:solidFill>
                  <a:srgbClr val="9BBB59"/>
                </a:solidFill>
              </a:ln>
              <a:effectLst/>
            </c:spPr>
          </c:marker>
          <c:cat>
            <c:multiLvlStrRef>
              <c:f>SAISIE!$H$168:$J$168</c:f>
            </c:multiLvlStrRef>
          </c:cat>
          <c:val>
            <c:numRef>
              <c:f>SAISIE!$H$171:$J$171</c:f>
              <c:numCache>
                <c:formatCode>0</c:formatCode>
                <c:ptCount val="3"/>
                <c:pt idx="0">
                  <c:v>#N/A</c:v>
                </c:pt>
                <c:pt idx="1">
                  <c:v>#N/A</c:v>
                </c:pt>
                <c:pt idx="2">
                  <c:v>#N/A</c:v>
                </c:pt>
              </c:numCache>
            </c:numRef>
          </c:val>
          <c:smooth val="0"/>
          <c:extLst>
            <c:ext xmlns:c16="http://schemas.microsoft.com/office/drawing/2014/chart" uri="{C3380CC4-5D6E-409C-BE32-E72D297353CC}">
              <c16:uniqueId val="{00000004-1C48-4A13-87F9-1D117A5425AF}"/>
            </c:ext>
          </c:extLst>
        </c:ser>
        <c:ser>
          <c:idx val="3"/>
          <c:order val="3"/>
          <c:tx>
            <c:strRef>
              <c:f>SAISIE!$C$172</c:f>
              <c:strCache>
                <c:ptCount val="1"/>
                <c:pt idx="0">
                  <c:v>Produits phytosanitaires</c:v>
                </c:pt>
              </c:strCache>
            </c:strRef>
          </c:tx>
          <c:spPr>
            <a:ln w="28575" cap="rnd">
              <a:solidFill>
                <a:srgbClr val="00B0F0"/>
              </a:solidFill>
              <a:round/>
            </a:ln>
            <a:effectLst/>
          </c:spPr>
          <c:marker>
            <c:symbol val="circle"/>
            <c:size val="5"/>
            <c:spPr>
              <a:solidFill>
                <a:srgbClr val="00B0F0"/>
              </a:solidFill>
              <a:ln w="9525">
                <a:solidFill>
                  <a:srgbClr val="00B0F0"/>
                </a:solidFill>
              </a:ln>
              <a:effectLst/>
            </c:spPr>
          </c:marker>
          <c:cat>
            <c:multiLvlStrRef>
              <c:f>SAISIE!$H$168:$J$168</c:f>
            </c:multiLvlStrRef>
          </c:cat>
          <c:val>
            <c:numRef>
              <c:f>SAISIE!$H$172:$J$172</c:f>
              <c:numCache>
                <c:formatCode>0</c:formatCode>
                <c:ptCount val="3"/>
                <c:pt idx="0">
                  <c:v>#N/A</c:v>
                </c:pt>
                <c:pt idx="1">
                  <c:v>#N/A</c:v>
                </c:pt>
                <c:pt idx="2">
                  <c:v>#N/A</c:v>
                </c:pt>
              </c:numCache>
            </c:numRef>
          </c:val>
          <c:smooth val="0"/>
          <c:extLst>
            <c:ext xmlns:c16="http://schemas.microsoft.com/office/drawing/2014/chart" uri="{C3380CC4-5D6E-409C-BE32-E72D297353CC}">
              <c16:uniqueId val="{00000005-1C48-4A13-87F9-1D117A5425AF}"/>
            </c:ext>
          </c:extLst>
        </c:ser>
        <c:ser>
          <c:idx val="4"/>
          <c:order val="4"/>
          <c:tx>
            <c:strRef>
              <c:f>SAISIE!$C$173</c:f>
              <c:strCache>
                <c:ptCount val="1"/>
                <c:pt idx="0">
                  <c:v>Irrigation (redevance+énergie)</c:v>
                </c:pt>
              </c:strCache>
            </c:strRef>
          </c:tx>
          <c:spPr>
            <a:ln w="28575" cap="rnd">
              <a:solidFill>
                <a:srgbClr val="0070C0"/>
              </a:solidFill>
              <a:prstDash val="solid"/>
              <a:round/>
            </a:ln>
            <a:effectLst/>
          </c:spPr>
          <c:marker>
            <c:symbol val="circle"/>
            <c:size val="5"/>
            <c:spPr>
              <a:solidFill>
                <a:srgbClr val="0070C0"/>
              </a:solidFill>
              <a:ln w="9525">
                <a:solidFill>
                  <a:srgbClr val="0070C0"/>
                </a:solidFill>
              </a:ln>
              <a:effectLst/>
            </c:spPr>
          </c:marker>
          <c:cat>
            <c:multiLvlStrRef>
              <c:f>SAISIE!$H$168:$J$168</c:f>
            </c:multiLvlStrRef>
          </c:cat>
          <c:val>
            <c:numRef>
              <c:f>SAISIE!$H$173:$J$173</c:f>
              <c:numCache>
                <c:formatCode>0</c:formatCode>
                <c:ptCount val="3"/>
                <c:pt idx="0">
                  <c:v>#N/A</c:v>
                </c:pt>
                <c:pt idx="1">
                  <c:v>#N/A</c:v>
                </c:pt>
                <c:pt idx="2">
                  <c:v>#N/A</c:v>
                </c:pt>
              </c:numCache>
            </c:numRef>
          </c:val>
          <c:smooth val="0"/>
          <c:extLst>
            <c:ext xmlns:c16="http://schemas.microsoft.com/office/drawing/2014/chart" uri="{C3380CC4-5D6E-409C-BE32-E72D297353CC}">
              <c16:uniqueId val="{00000006-1C48-4A13-87F9-1D117A5425AF}"/>
            </c:ext>
          </c:extLst>
        </c:ser>
        <c:ser>
          <c:idx val="5"/>
          <c:order val="5"/>
          <c:tx>
            <c:strRef>
              <c:f>SAISIE!$C$174</c:f>
              <c:strCache>
                <c:ptCount val="1"/>
                <c:pt idx="0">
                  <c:v>Autres intrants</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multiLvlStrRef>
              <c:f>SAISIE!$H$168:$J$168</c:f>
            </c:multiLvlStrRef>
          </c:cat>
          <c:val>
            <c:numRef>
              <c:f>SAISIE!$H$174:$J$174</c:f>
              <c:numCache>
                <c:formatCode>0</c:formatCode>
                <c:ptCount val="3"/>
                <c:pt idx="0">
                  <c:v>#N/A</c:v>
                </c:pt>
                <c:pt idx="1">
                  <c:v>#N/A</c:v>
                </c:pt>
                <c:pt idx="2">
                  <c:v>#N/A</c:v>
                </c:pt>
              </c:numCache>
            </c:numRef>
          </c:val>
          <c:smooth val="0"/>
          <c:extLst>
            <c:ext xmlns:c16="http://schemas.microsoft.com/office/drawing/2014/chart" uri="{C3380CC4-5D6E-409C-BE32-E72D297353CC}">
              <c16:uniqueId val="{00000007-1C48-4A13-87F9-1D117A5425AF}"/>
            </c:ext>
          </c:extLst>
        </c:ser>
        <c:ser>
          <c:idx val="6"/>
          <c:order val="6"/>
          <c:tx>
            <c:strRef>
              <c:f>SAISIE!$C$175</c:f>
              <c:strCache>
                <c:ptCount val="1"/>
                <c:pt idx="0">
                  <c:v>Séchage</c:v>
                </c:pt>
              </c:strCache>
            </c:strRef>
          </c:tx>
          <c:spPr>
            <a:ln w="28575" cap="rnd">
              <a:solidFill>
                <a:srgbClr val="CC9900"/>
              </a:solidFill>
              <a:round/>
            </a:ln>
            <a:effectLst/>
          </c:spPr>
          <c:marker>
            <c:symbol val="circle"/>
            <c:size val="5"/>
            <c:spPr>
              <a:solidFill>
                <a:srgbClr val="CC9900"/>
              </a:solidFill>
              <a:ln w="9525">
                <a:solidFill>
                  <a:srgbClr val="CC9900"/>
                </a:solidFill>
              </a:ln>
              <a:effectLst/>
            </c:spPr>
          </c:marker>
          <c:cat>
            <c:multiLvlStrRef>
              <c:f>SAISIE!$H$168:$J$168</c:f>
            </c:multiLvlStrRef>
          </c:cat>
          <c:val>
            <c:numRef>
              <c:f>SAISIE!$H$175:$J$175</c:f>
              <c:numCache>
                <c:formatCode>0</c:formatCode>
                <c:ptCount val="3"/>
                <c:pt idx="0">
                  <c:v>#N/A</c:v>
                </c:pt>
                <c:pt idx="1">
                  <c:v>#N/A</c:v>
                </c:pt>
                <c:pt idx="2">
                  <c:v>#N/A</c:v>
                </c:pt>
              </c:numCache>
            </c:numRef>
          </c:val>
          <c:smooth val="0"/>
          <c:extLst>
            <c:ext xmlns:c16="http://schemas.microsoft.com/office/drawing/2014/chart" uri="{C3380CC4-5D6E-409C-BE32-E72D297353CC}">
              <c16:uniqueId val="{00000008-1C48-4A13-87F9-1D117A5425AF}"/>
            </c:ext>
          </c:extLst>
        </c:ser>
        <c:ser>
          <c:idx val="7"/>
          <c:order val="7"/>
          <c:tx>
            <c:strRef>
              <c:f>SAISIE!$C$176</c:f>
              <c:strCache>
                <c:ptCount val="1"/>
                <c:pt idx="0">
                  <c:v>Stockage (énergie)</c:v>
                </c:pt>
              </c:strCache>
            </c:strRef>
          </c:tx>
          <c:spPr>
            <a:ln w="28575" cap="rnd">
              <a:solidFill>
                <a:srgbClr val="F79646">
                  <a:lumMod val="50000"/>
                </a:srgbClr>
              </a:solidFill>
              <a:round/>
            </a:ln>
            <a:effectLst/>
          </c:spPr>
          <c:marker>
            <c:symbol val="circle"/>
            <c:size val="5"/>
            <c:spPr>
              <a:solidFill>
                <a:srgbClr val="F79646">
                  <a:lumMod val="50000"/>
                </a:srgbClr>
              </a:solidFill>
              <a:ln w="9525">
                <a:solidFill>
                  <a:srgbClr val="F79646">
                    <a:lumMod val="50000"/>
                  </a:srgbClr>
                </a:solidFill>
              </a:ln>
              <a:effectLst/>
            </c:spPr>
          </c:marker>
          <c:cat>
            <c:multiLvlStrRef>
              <c:f>SAISIE!$H$168:$J$168</c:f>
            </c:multiLvlStrRef>
          </c:cat>
          <c:val>
            <c:numRef>
              <c:f>SAISIE!$H$176:$J$176</c:f>
              <c:numCache>
                <c:formatCode>0</c:formatCode>
                <c:ptCount val="3"/>
                <c:pt idx="0">
                  <c:v>#N/A</c:v>
                </c:pt>
                <c:pt idx="1">
                  <c:v>#N/A</c:v>
                </c:pt>
                <c:pt idx="2">
                  <c:v>#N/A</c:v>
                </c:pt>
              </c:numCache>
            </c:numRef>
          </c:val>
          <c:smooth val="0"/>
          <c:extLst>
            <c:ext xmlns:c16="http://schemas.microsoft.com/office/drawing/2014/chart" uri="{C3380CC4-5D6E-409C-BE32-E72D297353CC}">
              <c16:uniqueId val="{00000009-1C48-4A13-87F9-1D117A5425AF}"/>
            </c:ext>
          </c:extLst>
        </c:ser>
        <c:ser>
          <c:idx val="8"/>
          <c:order val="8"/>
          <c:tx>
            <c:strRef>
              <c:f>SAISIE!$C$177</c:f>
              <c:strCache>
                <c:ptCount val="1"/>
                <c:pt idx="0">
                  <c:v>Carburant</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A-1C48-4A13-87F9-1D117A5425AF}"/>
                </c:ext>
              </c:extLst>
            </c:dLbl>
            <c:dLbl>
              <c:idx val="1"/>
              <c:delete val="1"/>
              <c:extLst>
                <c:ext xmlns:c15="http://schemas.microsoft.com/office/drawing/2012/chart" uri="{CE6537A1-D6FC-4f65-9D91-7224C49458BB}"/>
                <c:ext xmlns:c16="http://schemas.microsoft.com/office/drawing/2014/chart" uri="{C3380CC4-5D6E-409C-BE32-E72D297353CC}">
                  <c16:uniqueId val="{0000000B-1C48-4A13-87F9-1D117A5425A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7030A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SAISIE!$H$168:$J$168</c:f>
            </c:multiLvlStrRef>
          </c:cat>
          <c:val>
            <c:numRef>
              <c:f>SAISIE!$H$177:$J$177</c:f>
              <c:numCache>
                <c:formatCode>0</c:formatCode>
                <c:ptCount val="3"/>
                <c:pt idx="0">
                  <c:v>#N/A</c:v>
                </c:pt>
                <c:pt idx="1">
                  <c:v>#N/A</c:v>
                </c:pt>
                <c:pt idx="2">
                  <c:v>#N/A</c:v>
                </c:pt>
              </c:numCache>
            </c:numRef>
          </c:val>
          <c:smooth val="0"/>
          <c:extLst>
            <c:ext xmlns:c16="http://schemas.microsoft.com/office/drawing/2014/chart" uri="{C3380CC4-5D6E-409C-BE32-E72D297353CC}">
              <c16:uniqueId val="{0000000C-1C48-4A13-87F9-1D117A5425AF}"/>
            </c:ext>
          </c:extLst>
        </c:ser>
        <c:ser>
          <c:idx val="9"/>
          <c:order val="9"/>
          <c:tx>
            <c:strRef>
              <c:f>SAISIE!$C$178</c:f>
              <c:strCache>
                <c:ptCount val="1"/>
                <c:pt idx="0">
                  <c:v>Entretien-réparation</c:v>
                </c:pt>
              </c:strCache>
            </c:strRef>
          </c:tx>
          <c:spPr>
            <a:ln w="28575" cap="rnd">
              <a:solidFill>
                <a:srgbClr val="CC00CC"/>
              </a:solidFill>
              <a:round/>
            </a:ln>
            <a:effectLst/>
          </c:spPr>
          <c:marker>
            <c:symbol val="circle"/>
            <c:size val="5"/>
            <c:spPr>
              <a:solidFill>
                <a:srgbClr val="CC00CC"/>
              </a:solidFill>
              <a:ln w="9525">
                <a:solidFill>
                  <a:srgbClr val="CC00CC"/>
                </a:solidFill>
              </a:ln>
              <a:effectLst/>
            </c:spPr>
          </c:marker>
          <c:cat>
            <c:multiLvlStrRef>
              <c:f>SAISIE!$H$168:$J$168</c:f>
            </c:multiLvlStrRef>
          </c:cat>
          <c:val>
            <c:numRef>
              <c:f>SAISIE!$H$178:$J$178</c:f>
              <c:numCache>
                <c:formatCode>0</c:formatCode>
                <c:ptCount val="3"/>
                <c:pt idx="0">
                  <c:v>#N/A</c:v>
                </c:pt>
                <c:pt idx="1">
                  <c:v>#N/A</c:v>
                </c:pt>
                <c:pt idx="2">
                  <c:v>#N/A</c:v>
                </c:pt>
              </c:numCache>
            </c:numRef>
          </c:val>
          <c:smooth val="0"/>
          <c:extLst>
            <c:ext xmlns:c16="http://schemas.microsoft.com/office/drawing/2014/chart" uri="{C3380CC4-5D6E-409C-BE32-E72D297353CC}">
              <c16:uniqueId val="{0000000D-1C48-4A13-87F9-1D117A5425AF}"/>
            </c:ext>
          </c:extLst>
        </c:ser>
        <c:ser>
          <c:idx val="10"/>
          <c:order val="10"/>
          <c:tx>
            <c:strRef>
              <c:f>SAISIE!$C$179</c:f>
              <c:strCache>
                <c:ptCount val="1"/>
                <c:pt idx="0">
                  <c:v>Travaux par tiers</c:v>
                </c:pt>
              </c:strCache>
            </c:strRef>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multiLvlStrRef>
              <c:f>SAISIE!$H$168:$J$168</c:f>
            </c:multiLvlStrRef>
          </c:cat>
          <c:val>
            <c:numRef>
              <c:f>SAISIE!$H$179:$J$179</c:f>
              <c:numCache>
                <c:formatCode>0</c:formatCode>
                <c:ptCount val="3"/>
                <c:pt idx="0">
                  <c:v>#N/A</c:v>
                </c:pt>
                <c:pt idx="1">
                  <c:v>#N/A</c:v>
                </c:pt>
                <c:pt idx="2">
                  <c:v>#N/A</c:v>
                </c:pt>
              </c:numCache>
            </c:numRef>
          </c:val>
          <c:smooth val="0"/>
          <c:extLst>
            <c:ext xmlns:c16="http://schemas.microsoft.com/office/drawing/2014/chart" uri="{C3380CC4-5D6E-409C-BE32-E72D297353CC}">
              <c16:uniqueId val="{0000000E-1C48-4A13-87F9-1D117A5425AF}"/>
            </c:ext>
          </c:extLst>
        </c:ser>
        <c:ser>
          <c:idx val="11"/>
          <c:order val="11"/>
          <c:tx>
            <c:strRef>
              <c:f>SAISIE!$C$180</c:f>
              <c:strCache>
                <c:ptCount val="1"/>
                <c:pt idx="0">
                  <c:v>Autres charges (1)</c:v>
                </c:pt>
              </c:strCache>
            </c:strRef>
          </c:tx>
          <c:spPr>
            <a:ln w="28575" cap="rnd">
              <a:solidFill>
                <a:sysClr val="window" lastClr="FFFFFF">
                  <a:lumMod val="65000"/>
                </a:sysClr>
              </a:solidFill>
              <a:round/>
            </a:ln>
            <a:effectLst/>
          </c:spPr>
          <c:marker>
            <c:symbol val="circle"/>
            <c:size val="5"/>
            <c:spPr>
              <a:solidFill>
                <a:sysClr val="window" lastClr="FFFFFF">
                  <a:lumMod val="65000"/>
                </a:sysClr>
              </a:solidFill>
              <a:ln w="9525">
                <a:solidFill>
                  <a:sysClr val="window" lastClr="FFFFFF">
                    <a:lumMod val="65000"/>
                  </a:sysClr>
                </a:solidFill>
              </a:ln>
              <a:effectLst/>
            </c:spPr>
          </c:marker>
          <c:cat>
            <c:multiLvlStrRef>
              <c:f>SAISIE!$H$168:$J$168</c:f>
            </c:multiLvlStrRef>
          </c:cat>
          <c:val>
            <c:numRef>
              <c:f>SAISIE!$H$180:$J$180</c:f>
              <c:numCache>
                <c:formatCode>0</c:formatCode>
                <c:ptCount val="3"/>
                <c:pt idx="0">
                  <c:v>#N/A</c:v>
                </c:pt>
                <c:pt idx="1">
                  <c:v>#N/A</c:v>
                </c:pt>
                <c:pt idx="2">
                  <c:v>#N/A</c:v>
                </c:pt>
              </c:numCache>
            </c:numRef>
          </c:val>
          <c:smooth val="0"/>
          <c:extLst>
            <c:ext xmlns:c16="http://schemas.microsoft.com/office/drawing/2014/chart" uri="{C3380CC4-5D6E-409C-BE32-E72D297353CC}">
              <c16:uniqueId val="{0000000F-1C48-4A13-87F9-1D117A5425AF}"/>
            </c:ext>
          </c:extLst>
        </c:ser>
        <c:ser>
          <c:idx val="12"/>
          <c:order val="12"/>
          <c:tx>
            <c:strRef>
              <c:f>SAISIE!$C$181</c:f>
              <c:strCache>
                <c:ptCount val="1"/>
                <c:pt idx="0">
                  <c:v>Rémunération de la MO familiale</c:v>
                </c:pt>
              </c:strCache>
            </c:strRef>
          </c:tx>
          <c:spPr>
            <a:ln w="28575" cap="rnd">
              <a:solidFill>
                <a:srgbClr val="4BACC6">
                  <a:lumMod val="75000"/>
                </a:srgbClr>
              </a:solidFill>
              <a:round/>
            </a:ln>
            <a:effectLst/>
          </c:spPr>
          <c:marker>
            <c:symbol val="circle"/>
            <c:size val="5"/>
            <c:spPr>
              <a:solidFill>
                <a:srgbClr val="4BACC6">
                  <a:lumMod val="75000"/>
                </a:srgbClr>
              </a:solidFill>
              <a:ln w="9525">
                <a:solidFill>
                  <a:srgbClr val="4BACC6">
                    <a:lumMod val="75000"/>
                  </a:srgbClr>
                </a:solidFill>
              </a:ln>
              <a:effectLst/>
            </c:spPr>
          </c:marker>
          <c:cat>
            <c:multiLvlStrRef>
              <c:f>SAISIE!$H$168:$J$168</c:f>
            </c:multiLvlStrRef>
          </c:cat>
          <c:val>
            <c:numRef>
              <c:f>SAISIE!$H$181:$J$181</c:f>
              <c:numCache>
                <c:formatCode>0</c:formatCode>
                <c:ptCount val="3"/>
                <c:pt idx="0">
                  <c:v>#N/A</c:v>
                </c:pt>
                <c:pt idx="1">
                  <c:v>#N/A</c:v>
                </c:pt>
                <c:pt idx="2">
                  <c:v>#N/A</c:v>
                </c:pt>
              </c:numCache>
            </c:numRef>
          </c:val>
          <c:smooth val="0"/>
          <c:extLst>
            <c:ext xmlns:c16="http://schemas.microsoft.com/office/drawing/2014/chart" uri="{C3380CC4-5D6E-409C-BE32-E72D297353CC}">
              <c16:uniqueId val="{00000010-1C48-4A13-87F9-1D117A5425AF}"/>
            </c:ext>
          </c:extLst>
        </c:ser>
        <c:ser>
          <c:idx val="13"/>
          <c:order val="13"/>
          <c:tx>
            <c:strRef>
              <c:f>SAISIE!$C$182</c:f>
              <c:strCache>
                <c:ptCount val="1"/>
                <c:pt idx="0">
                  <c:v>Total des charges</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11-1C48-4A13-87F9-1D117A5425AF}"/>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C48-4A13-87F9-1D117A5425AF}"/>
                </c:ext>
              </c:extLst>
            </c:dLbl>
            <c:dLbl>
              <c:idx val="2"/>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C48-4A13-87F9-1D117A5425A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FF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SAISIE!$H$168:$J$168</c:f>
            </c:multiLvlStrRef>
          </c:cat>
          <c:val>
            <c:numRef>
              <c:f>SAISIE!$H$182:$J$182</c:f>
              <c:numCache>
                <c:formatCode>0</c:formatCode>
                <c:ptCount val="3"/>
                <c:pt idx="0">
                  <c:v>#N/A</c:v>
                </c:pt>
                <c:pt idx="1">
                  <c:v>#N/A</c:v>
                </c:pt>
                <c:pt idx="2">
                  <c:v>#N/A</c:v>
                </c:pt>
              </c:numCache>
            </c:numRef>
          </c:val>
          <c:smooth val="0"/>
          <c:extLst>
            <c:ext xmlns:c16="http://schemas.microsoft.com/office/drawing/2014/chart" uri="{C3380CC4-5D6E-409C-BE32-E72D297353CC}">
              <c16:uniqueId val="{00000014-1C48-4A13-87F9-1D117A5425AF}"/>
            </c:ext>
          </c:extLst>
        </c:ser>
        <c:dLbls>
          <c:showLegendKey val="0"/>
          <c:showVal val="0"/>
          <c:showCatName val="0"/>
          <c:showSerName val="0"/>
          <c:showPercent val="0"/>
          <c:showBubbleSize val="0"/>
        </c:dLbls>
        <c:marker val="1"/>
        <c:smooth val="0"/>
        <c:axId val="625307560"/>
        <c:axId val="625301328"/>
      </c:lineChart>
      <c:catAx>
        <c:axId val="625307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625301328"/>
        <c:crosses val="autoZero"/>
        <c:auto val="1"/>
        <c:lblAlgn val="ctr"/>
        <c:lblOffset val="100"/>
        <c:noMultiLvlLbl val="0"/>
      </c:catAx>
      <c:valAx>
        <c:axId val="625301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ysClr val="window" lastClr="FFFFFF">
                <a:lumMod val="65000"/>
                <a:alpha val="90000"/>
              </a:sysClr>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625307560"/>
        <c:crosses val="autoZero"/>
        <c:crossBetween val="between"/>
      </c:valAx>
      <c:spPr>
        <a:noFill/>
        <a:ln>
          <a:noFill/>
        </a:ln>
        <a:effectLst/>
      </c:spPr>
    </c:plotArea>
    <c:plotVisOnly val="0"/>
    <c:dispBlanksAs val="gap"/>
    <c:showDLblsOverMax val="0"/>
    <c:extLst/>
  </c:chart>
  <c:spPr>
    <a:noFill/>
    <a:ln w="9525" cap="flat" cmpd="sng" algn="ctr">
      <a:solidFill>
        <a:sysClr val="window" lastClr="FFFFFF">
          <a:lumMod val="65000"/>
        </a:sysClr>
      </a:solidFill>
      <a:round/>
    </a:ln>
    <a:effectLst/>
  </c:spPr>
  <c:txPr>
    <a:bodyPr/>
    <a:lstStyle/>
    <a:p>
      <a:pPr>
        <a:defRPr sz="1400" b="1">
          <a:solidFill>
            <a:sysClr val="windowText" lastClr="000000"/>
          </a:solidFill>
        </a:defRPr>
      </a:pPr>
      <a:endParaRPr lang="fr-FR"/>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19020086122401"/>
          <c:y val="0.20424730223912618"/>
          <c:w val="0.77173231562402766"/>
          <c:h val="0.68263278566025154"/>
        </c:manualLayout>
      </c:layout>
      <c:barChart>
        <c:barDir val="col"/>
        <c:grouping val="stacked"/>
        <c:varyColors val="0"/>
        <c:ser>
          <c:idx val="0"/>
          <c:order val="0"/>
          <c:tx>
            <c:strRef>
              <c:f>SAISIE!$C$132</c:f>
              <c:strCache>
                <c:ptCount val="1"/>
                <c:pt idx="0">
                  <c:v>Semences</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SAISIE!$H$132:$J$132</c:f>
              <c:numCache>
                <c:formatCode>0</c:formatCode>
                <c:ptCount val="3"/>
                <c:pt idx="0">
                  <c:v>0</c:v>
                </c:pt>
                <c:pt idx="1">
                  <c:v>0</c:v>
                </c:pt>
                <c:pt idx="2">
                  <c:v>0</c:v>
                </c:pt>
              </c:numCache>
            </c:numRef>
          </c:val>
          <c:extLst>
            <c:ext xmlns:c16="http://schemas.microsoft.com/office/drawing/2014/chart" uri="{C3380CC4-5D6E-409C-BE32-E72D297353CC}">
              <c16:uniqueId val="{00000000-42C1-43FB-ABEB-9DCC222F091B}"/>
            </c:ext>
          </c:extLst>
        </c:ser>
        <c:ser>
          <c:idx val="1"/>
          <c:order val="1"/>
          <c:tx>
            <c:strRef>
              <c:f>SAISIE!$C$133</c:f>
              <c:strCache>
                <c:ptCount val="1"/>
                <c:pt idx="0">
                  <c:v>Engrais total</c:v>
                </c:pt>
              </c:strCache>
            </c:strRef>
          </c:tx>
          <c:spPr>
            <a:solidFill>
              <a:srgbClr val="9BBB59">
                <a:lumMod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SAISIE!$H$133:$J$133</c:f>
              <c:numCache>
                <c:formatCode>0</c:formatCode>
                <c:ptCount val="3"/>
                <c:pt idx="0">
                  <c:v>0</c:v>
                </c:pt>
                <c:pt idx="1">
                  <c:v>0</c:v>
                </c:pt>
                <c:pt idx="2">
                  <c:v>0</c:v>
                </c:pt>
              </c:numCache>
            </c:numRef>
          </c:val>
          <c:extLst>
            <c:ext xmlns:c16="http://schemas.microsoft.com/office/drawing/2014/chart" uri="{C3380CC4-5D6E-409C-BE32-E72D297353CC}">
              <c16:uniqueId val="{00000001-42C1-43FB-ABEB-9DCC222F091B}"/>
            </c:ext>
          </c:extLst>
        </c:ser>
        <c:ser>
          <c:idx val="2"/>
          <c:order val="2"/>
          <c:tx>
            <c:strRef>
              <c:f>SAISIE!$C$135</c:f>
              <c:strCache>
                <c:ptCount val="1"/>
                <c:pt idx="0">
                  <c:v>Produits phytosanitaires</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SAISIE!$H$135:$J$135</c:f>
              <c:numCache>
                <c:formatCode>0</c:formatCode>
                <c:ptCount val="3"/>
                <c:pt idx="0">
                  <c:v>0</c:v>
                </c:pt>
                <c:pt idx="1">
                  <c:v>0</c:v>
                </c:pt>
                <c:pt idx="2">
                  <c:v>0</c:v>
                </c:pt>
              </c:numCache>
            </c:numRef>
          </c:val>
          <c:extLst>
            <c:ext xmlns:c16="http://schemas.microsoft.com/office/drawing/2014/chart" uri="{C3380CC4-5D6E-409C-BE32-E72D297353CC}">
              <c16:uniqueId val="{00000002-42C1-43FB-ABEB-9DCC222F091B}"/>
            </c:ext>
          </c:extLst>
        </c:ser>
        <c:ser>
          <c:idx val="3"/>
          <c:order val="3"/>
          <c:tx>
            <c:strRef>
              <c:f>SAISIE!$C$136</c:f>
              <c:strCache>
                <c:ptCount val="1"/>
                <c:pt idx="0">
                  <c:v>Irrigation (redevance+énergie)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SAISIE!$H$136:$J$136</c:f>
              <c:numCache>
                <c:formatCode>0</c:formatCode>
                <c:ptCount val="3"/>
                <c:pt idx="0">
                  <c:v>0</c:v>
                </c:pt>
                <c:pt idx="1">
                  <c:v>0</c:v>
                </c:pt>
                <c:pt idx="2">
                  <c:v>0</c:v>
                </c:pt>
              </c:numCache>
            </c:numRef>
          </c:val>
          <c:extLst>
            <c:ext xmlns:c16="http://schemas.microsoft.com/office/drawing/2014/chart" uri="{C3380CC4-5D6E-409C-BE32-E72D297353CC}">
              <c16:uniqueId val="{00000003-42C1-43FB-ABEB-9DCC222F091B}"/>
            </c:ext>
          </c:extLst>
        </c:ser>
        <c:ser>
          <c:idx val="4"/>
          <c:order val="4"/>
          <c:tx>
            <c:strRef>
              <c:f>SAISIE!$C$137</c:f>
              <c:strCache>
                <c:ptCount val="1"/>
                <c:pt idx="0">
                  <c:v>Autres intrants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SAISIE!$H$137:$J$137</c:f>
              <c:numCache>
                <c:formatCode>0</c:formatCode>
                <c:ptCount val="3"/>
                <c:pt idx="0">
                  <c:v>0</c:v>
                </c:pt>
                <c:pt idx="1">
                  <c:v>0</c:v>
                </c:pt>
                <c:pt idx="2">
                  <c:v>0</c:v>
                </c:pt>
              </c:numCache>
            </c:numRef>
          </c:val>
          <c:extLst>
            <c:ext xmlns:c16="http://schemas.microsoft.com/office/drawing/2014/chart" uri="{C3380CC4-5D6E-409C-BE32-E72D297353CC}">
              <c16:uniqueId val="{00000004-42C1-43FB-ABEB-9DCC222F091B}"/>
            </c:ext>
          </c:extLst>
        </c:ser>
        <c:ser>
          <c:idx val="5"/>
          <c:order val="5"/>
          <c:tx>
            <c:strRef>
              <c:f>SAISIE!$C$138</c:f>
              <c:strCache>
                <c:ptCount val="1"/>
                <c:pt idx="0">
                  <c:v>Séchage</c:v>
                </c:pt>
              </c:strCache>
            </c:strRef>
          </c:tx>
          <c:spPr>
            <a:solidFill>
              <a:srgbClr val="CC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SAISIE!$H$138:$J$138</c:f>
              <c:numCache>
                <c:formatCode>0</c:formatCode>
                <c:ptCount val="3"/>
                <c:pt idx="0">
                  <c:v>0</c:v>
                </c:pt>
                <c:pt idx="1">
                  <c:v>0</c:v>
                </c:pt>
                <c:pt idx="2">
                  <c:v>0</c:v>
                </c:pt>
              </c:numCache>
            </c:numRef>
          </c:val>
          <c:extLst>
            <c:ext xmlns:c16="http://schemas.microsoft.com/office/drawing/2014/chart" uri="{C3380CC4-5D6E-409C-BE32-E72D297353CC}">
              <c16:uniqueId val="{00000005-42C1-43FB-ABEB-9DCC222F091B}"/>
            </c:ext>
          </c:extLst>
        </c:ser>
        <c:ser>
          <c:idx val="6"/>
          <c:order val="6"/>
          <c:tx>
            <c:strRef>
              <c:f>SAISIE!$C$139</c:f>
              <c:strCache>
                <c:ptCount val="1"/>
                <c:pt idx="0">
                  <c:v>Stockage (énergie)</c:v>
                </c:pt>
              </c:strCache>
            </c:strRef>
          </c:tx>
          <c:spPr>
            <a:solidFill>
              <a:srgbClr val="F79646">
                <a:lumMod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SAISIE!$H$139:$J$139</c:f>
              <c:numCache>
                <c:formatCode>0</c:formatCode>
                <c:ptCount val="3"/>
                <c:pt idx="0">
                  <c:v>0</c:v>
                </c:pt>
                <c:pt idx="1">
                  <c:v>0</c:v>
                </c:pt>
                <c:pt idx="2">
                  <c:v>0</c:v>
                </c:pt>
              </c:numCache>
            </c:numRef>
          </c:val>
          <c:extLst>
            <c:ext xmlns:c16="http://schemas.microsoft.com/office/drawing/2014/chart" uri="{C3380CC4-5D6E-409C-BE32-E72D297353CC}">
              <c16:uniqueId val="{00000006-42C1-43FB-ABEB-9DCC222F091B}"/>
            </c:ext>
          </c:extLst>
        </c:ser>
        <c:ser>
          <c:idx val="7"/>
          <c:order val="7"/>
          <c:tx>
            <c:strRef>
              <c:f>SAISIE!$C$140</c:f>
              <c:strCache>
                <c:ptCount val="1"/>
                <c:pt idx="0">
                  <c:v>Carburant</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SAISIE!$H$140:$J$140</c:f>
              <c:numCache>
                <c:formatCode>0</c:formatCode>
                <c:ptCount val="3"/>
                <c:pt idx="0">
                  <c:v>0</c:v>
                </c:pt>
                <c:pt idx="1">
                  <c:v>0</c:v>
                </c:pt>
                <c:pt idx="2">
                  <c:v>0</c:v>
                </c:pt>
              </c:numCache>
            </c:numRef>
          </c:val>
          <c:extLst>
            <c:ext xmlns:c16="http://schemas.microsoft.com/office/drawing/2014/chart" uri="{C3380CC4-5D6E-409C-BE32-E72D297353CC}">
              <c16:uniqueId val="{00000007-42C1-43FB-ABEB-9DCC222F091B}"/>
            </c:ext>
          </c:extLst>
        </c:ser>
        <c:ser>
          <c:idx val="8"/>
          <c:order val="8"/>
          <c:tx>
            <c:strRef>
              <c:f>SAISIE!$C$141</c:f>
              <c:strCache>
                <c:ptCount val="1"/>
                <c:pt idx="0">
                  <c:v>Entretien-réparation</c:v>
                </c:pt>
              </c:strCache>
            </c:strRef>
          </c:tx>
          <c:spPr>
            <a:solidFill>
              <a:srgbClr val="CC00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SAISIE!$H$141:$J$141</c:f>
              <c:numCache>
                <c:formatCode>0</c:formatCode>
                <c:ptCount val="3"/>
                <c:pt idx="0">
                  <c:v>0</c:v>
                </c:pt>
                <c:pt idx="1">
                  <c:v>0</c:v>
                </c:pt>
                <c:pt idx="2">
                  <c:v>0</c:v>
                </c:pt>
              </c:numCache>
            </c:numRef>
          </c:val>
          <c:extLst>
            <c:ext xmlns:c16="http://schemas.microsoft.com/office/drawing/2014/chart" uri="{C3380CC4-5D6E-409C-BE32-E72D297353CC}">
              <c16:uniqueId val="{00000008-42C1-43FB-ABEB-9DCC222F091B}"/>
            </c:ext>
          </c:extLst>
        </c:ser>
        <c:ser>
          <c:idx val="9"/>
          <c:order val="9"/>
          <c:tx>
            <c:strRef>
              <c:f>SAISIE!$C$142</c:f>
              <c:strCache>
                <c:ptCount val="1"/>
                <c:pt idx="0">
                  <c:v>Travaux par tiers</c:v>
                </c:pt>
              </c:strCache>
            </c:strRef>
          </c:tx>
          <c:spPr>
            <a:solidFill>
              <a:srgbClr val="F79646">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SAISIE!$H$142:$J$142</c:f>
              <c:numCache>
                <c:formatCode>0</c:formatCode>
                <c:ptCount val="3"/>
                <c:pt idx="0">
                  <c:v>0</c:v>
                </c:pt>
                <c:pt idx="1">
                  <c:v>0</c:v>
                </c:pt>
                <c:pt idx="2">
                  <c:v>0</c:v>
                </c:pt>
              </c:numCache>
            </c:numRef>
          </c:val>
          <c:extLst>
            <c:ext xmlns:c16="http://schemas.microsoft.com/office/drawing/2014/chart" uri="{C3380CC4-5D6E-409C-BE32-E72D297353CC}">
              <c16:uniqueId val="{00000009-42C1-43FB-ABEB-9DCC222F091B}"/>
            </c:ext>
          </c:extLst>
        </c:ser>
        <c:ser>
          <c:idx val="10"/>
          <c:order val="10"/>
          <c:tx>
            <c:strRef>
              <c:f>SAISIE!$C$143</c:f>
              <c:strCache>
                <c:ptCount val="1"/>
                <c:pt idx="0">
                  <c:v>Autres charges (1)</c:v>
                </c:pt>
              </c:strCache>
            </c:strRef>
          </c:tx>
          <c:spPr>
            <a:solidFill>
              <a:sysClr val="window" lastClr="FFFFFF">
                <a:lumMod val="6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SAISIE!$H$143:$J$143</c:f>
              <c:numCache>
                <c:formatCode>0</c:formatCode>
                <c:ptCount val="3"/>
                <c:pt idx="0">
                  <c:v>0</c:v>
                </c:pt>
                <c:pt idx="1">
                  <c:v>0</c:v>
                </c:pt>
                <c:pt idx="2">
                  <c:v>0</c:v>
                </c:pt>
              </c:numCache>
            </c:numRef>
          </c:val>
          <c:extLst>
            <c:ext xmlns:c16="http://schemas.microsoft.com/office/drawing/2014/chart" uri="{C3380CC4-5D6E-409C-BE32-E72D297353CC}">
              <c16:uniqueId val="{0000000A-42C1-43FB-ABEB-9DCC222F091B}"/>
            </c:ext>
          </c:extLst>
        </c:ser>
        <c:ser>
          <c:idx val="11"/>
          <c:order val="11"/>
          <c:tx>
            <c:strRef>
              <c:f>SAISIE!$C$144</c:f>
              <c:strCache>
                <c:ptCount val="1"/>
                <c:pt idx="0">
                  <c:v>Rémunération de la MO familiale</c:v>
                </c:pt>
              </c:strCache>
            </c:strRef>
          </c:tx>
          <c:spPr>
            <a:solidFill>
              <a:srgbClr val="4BACC6">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SAISIE!$H$144:$J$144</c:f>
              <c:numCache>
                <c:formatCode>0</c:formatCode>
                <c:ptCount val="3"/>
                <c:pt idx="0">
                  <c:v>0</c:v>
                </c:pt>
                <c:pt idx="1">
                  <c:v>0</c:v>
                </c:pt>
                <c:pt idx="2">
                  <c:v>0</c:v>
                </c:pt>
              </c:numCache>
            </c:numRef>
          </c:val>
          <c:extLst>
            <c:ext xmlns:c16="http://schemas.microsoft.com/office/drawing/2014/chart" uri="{C3380CC4-5D6E-409C-BE32-E72D297353CC}">
              <c16:uniqueId val="{0000000B-42C1-43FB-ABEB-9DCC222F091B}"/>
            </c:ext>
          </c:extLst>
        </c:ser>
        <c:dLbls>
          <c:showLegendKey val="0"/>
          <c:showVal val="0"/>
          <c:showCatName val="0"/>
          <c:showSerName val="0"/>
          <c:showPercent val="0"/>
          <c:showBubbleSize val="0"/>
        </c:dLbls>
        <c:gapWidth val="30"/>
        <c:overlap val="100"/>
        <c:axId val="626189608"/>
        <c:axId val="626191904"/>
      </c:barChart>
      <c:catAx>
        <c:axId val="626189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626191904"/>
        <c:crosses val="autoZero"/>
        <c:auto val="1"/>
        <c:lblAlgn val="ctr"/>
        <c:lblOffset val="100"/>
        <c:noMultiLvlLbl val="0"/>
      </c:catAx>
      <c:valAx>
        <c:axId val="626191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626189608"/>
        <c:crosses val="autoZero"/>
        <c:crossBetween val="between"/>
      </c:valAx>
      <c:spPr>
        <a:noFill/>
        <a:ln>
          <a:noFill/>
        </a:ln>
        <a:effectLst/>
      </c:spPr>
    </c:plotArea>
    <c:plotVisOnly val="0"/>
    <c:dispBlanksAs val="gap"/>
    <c:showDLblsOverMax val="0"/>
    <c:extLst/>
  </c:chart>
  <c:spPr>
    <a:noFill/>
    <a:ln w="9525" cap="flat" cmpd="sng" algn="ctr">
      <a:solidFill>
        <a:schemeClr val="bg1">
          <a:lumMod val="65000"/>
        </a:schemeClr>
      </a:solidFill>
      <a:round/>
    </a:ln>
    <a:effectLst/>
  </c:spPr>
  <c:txPr>
    <a:bodyPr/>
    <a:lstStyle/>
    <a:p>
      <a:pPr>
        <a:defRPr/>
      </a:pPr>
      <a:endParaRPr lang="fr-FR"/>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64787114171256"/>
          <c:y val="0.19712541802653882"/>
          <c:w val="0.84644424326486767"/>
          <c:h val="0.68454684819691669"/>
        </c:manualLayout>
      </c:layout>
      <c:lineChart>
        <c:grouping val="standard"/>
        <c:varyColors val="0"/>
        <c:ser>
          <c:idx val="0"/>
          <c:order val="0"/>
          <c:tx>
            <c:strRef>
              <c:f>SAISIE!$C$169</c:f>
              <c:strCache>
                <c:ptCount val="1"/>
                <c:pt idx="0">
                  <c:v>Semences</c:v>
                </c:pt>
              </c:strCache>
            </c:strRef>
          </c:tx>
          <c:spPr>
            <a:ln w="28575" cap="rnd">
              <a:solidFill>
                <a:srgbClr val="C0504D">
                  <a:lumMod val="60000"/>
                  <a:lumOff val="40000"/>
                </a:srgbClr>
              </a:solidFill>
              <a:round/>
            </a:ln>
            <a:effectLst/>
          </c:spPr>
          <c:marker>
            <c:symbol val="circle"/>
            <c:size val="5"/>
            <c:spPr>
              <a:solidFill>
                <a:srgbClr val="C0504D">
                  <a:lumMod val="60000"/>
                  <a:lumOff val="40000"/>
                </a:srgbClr>
              </a:solidFill>
              <a:ln w="9525">
                <a:solidFill>
                  <a:srgbClr val="C0504D">
                    <a:lumMod val="60000"/>
                    <a:lumOff val="40000"/>
                  </a:srgbClr>
                </a:solidFill>
              </a:ln>
              <a:effectLst/>
            </c:spPr>
          </c:marker>
          <c:cat>
            <c:multiLvlStrRef>
              <c:f>SAISIE!$E$168:$G$168</c:f>
            </c:multiLvlStrRef>
          </c:cat>
          <c:val>
            <c:numRef>
              <c:f>SAISIE!$E$169:$G$169</c:f>
              <c:numCache>
                <c:formatCode>0</c:formatCode>
                <c:ptCount val="3"/>
                <c:pt idx="0">
                  <c:v>0</c:v>
                </c:pt>
                <c:pt idx="1">
                  <c:v>#N/A</c:v>
                </c:pt>
                <c:pt idx="2">
                  <c:v>#N/A</c:v>
                </c:pt>
              </c:numCache>
            </c:numRef>
          </c:val>
          <c:smooth val="0"/>
          <c:extLst>
            <c:ext xmlns:c16="http://schemas.microsoft.com/office/drawing/2014/chart" uri="{C3380CC4-5D6E-409C-BE32-E72D297353CC}">
              <c16:uniqueId val="{00000000-9541-4960-9958-68D46A91F98D}"/>
            </c:ext>
          </c:extLst>
        </c:ser>
        <c:ser>
          <c:idx val="1"/>
          <c:order val="1"/>
          <c:tx>
            <c:strRef>
              <c:f>SAISIE!$C$170</c:f>
              <c:strCache>
                <c:ptCount val="1"/>
                <c:pt idx="0">
                  <c:v>Engrais total</c:v>
                </c:pt>
              </c:strCache>
            </c:strRef>
          </c:tx>
          <c:spPr>
            <a:ln w="28575" cap="rnd">
              <a:solidFill>
                <a:srgbClr val="9BBB59">
                  <a:lumMod val="50000"/>
                </a:srgbClr>
              </a:solidFill>
              <a:round/>
            </a:ln>
            <a:effectLst/>
          </c:spPr>
          <c:marker>
            <c:symbol val="square"/>
            <c:size val="6"/>
            <c:spPr>
              <a:solidFill>
                <a:srgbClr val="9BBB59">
                  <a:lumMod val="50000"/>
                </a:srgbClr>
              </a:solidFill>
              <a:ln w="9525">
                <a:solidFill>
                  <a:srgbClr val="9BBB59">
                    <a:lumMod val="50000"/>
                  </a:srgbClr>
                </a:solidFill>
              </a:ln>
              <a:effectLst/>
            </c:spPr>
          </c:marker>
          <c:dPt>
            <c:idx val="2"/>
            <c:marker>
              <c:symbol val="square"/>
              <c:size val="6"/>
              <c:spPr>
                <a:solidFill>
                  <a:srgbClr val="9BBB59">
                    <a:lumMod val="50000"/>
                  </a:srgbClr>
                </a:solidFill>
                <a:ln w="9525">
                  <a:solidFill>
                    <a:srgbClr val="9BBB59">
                      <a:lumMod val="50000"/>
                    </a:srgbClr>
                  </a:solidFill>
                </a:ln>
                <a:effectLst/>
              </c:spPr>
            </c:marker>
            <c:bubble3D val="0"/>
            <c:extLst>
              <c:ext xmlns:c16="http://schemas.microsoft.com/office/drawing/2014/chart" uri="{C3380CC4-5D6E-409C-BE32-E72D297353CC}">
                <c16:uniqueId val="{00000001-9541-4960-9958-68D46A91F98D}"/>
              </c:ext>
            </c:extLst>
          </c:dPt>
          <c:dLbls>
            <c:dLbl>
              <c:idx val="0"/>
              <c:delete val="1"/>
              <c:extLst>
                <c:ext xmlns:c15="http://schemas.microsoft.com/office/drawing/2012/chart" uri="{CE6537A1-D6FC-4f65-9D91-7224C49458BB}"/>
                <c:ext xmlns:c16="http://schemas.microsoft.com/office/drawing/2014/chart" uri="{C3380CC4-5D6E-409C-BE32-E72D297353CC}">
                  <c16:uniqueId val="{00000002-9541-4960-9958-68D46A91F98D}"/>
                </c:ext>
              </c:extLst>
            </c:dLbl>
            <c:dLbl>
              <c:idx val="1"/>
              <c:delete val="1"/>
              <c:extLst>
                <c:ext xmlns:c15="http://schemas.microsoft.com/office/drawing/2012/chart" uri="{CE6537A1-D6FC-4f65-9D91-7224C49458BB}"/>
                <c:ext xmlns:c16="http://schemas.microsoft.com/office/drawing/2014/chart" uri="{C3380CC4-5D6E-409C-BE32-E72D297353CC}">
                  <c16:uniqueId val="{00000003-9541-4960-9958-68D46A91F98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3">
                        <a:lumMod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SAISIE!$E$168:$G$168</c:f>
            </c:multiLvlStrRef>
          </c:cat>
          <c:val>
            <c:numRef>
              <c:f>SAISIE!$E$170:$G$170</c:f>
              <c:numCache>
                <c:formatCode>0</c:formatCode>
                <c:ptCount val="3"/>
                <c:pt idx="0">
                  <c:v>0</c:v>
                </c:pt>
                <c:pt idx="1">
                  <c:v>#N/A</c:v>
                </c:pt>
                <c:pt idx="2">
                  <c:v>#N/A</c:v>
                </c:pt>
              </c:numCache>
            </c:numRef>
          </c:val>
          <c:smooth val="0"/>
          <c:extLst>
            <c:ext xmlns:c16="http://schemas.microsoft.com/office/drawing/2014/chart" uri="{C3380CC4-5D6E-409C-BE32-E72D297353CC}">
              <c16:uniqueId val="{00000004-9541-4960-9958-68D46A91F98D}"/>
            </c:ext>
          </c:extLst>
        </c:ser>
        <c:ser>
          <c:idx val="2"/>
          <c:order val="2"/>
          <c:tx>
            <c:strRef>
              <c:f>SAISIE!$C$171</c:f>
              <c:strCache>
                <c:ptCount val="1"/>
                <c:pt idx="0">
                  <c:v>dont Azote simple</c:v>
                </c:pt>
              </c:strCache>
            </c:strRef>
          </c:tx>
          <c:spPr>
            <a:ln w="28575" cap="rnd">
              <a:solidFill>
                <a:srgbClr val="9BBB59"/>
              </a:solidFill>
              <a:prstDash val="dash"/>
              <a:round/>
            </a:ln>
            <a:effectLst/>
          </c:spPr>
          <c:marker>
            <c:symbol val="diamond"/>
            <c:size val="7"/>
            <c:spPr>
              <a:solidFill>
                <a:srgbClr val="9BBB59"/>
              </a:solidFill>
              <a:ln w="9525">
                <a:solidFill>
                  <a:srgbClr val="9BBB59"/>
                </a:solidFill>
              </a:ln>
              <a:effectLst/>
            </c:spPr>
          </c:marker>
          <c:cat>
            <c:multiLvlStrRef>
              <c:f>SAISIE!$E$168:$G$168</c:f>
            </c:multiLvlStrRef>
          </c:cat>
          <c:val>
            <c:numRef>
              <c:f>SAISIE!$E$171:$G$171</c:f>
              <c:numCache>
                <c:formatCode>0</c:formatCode>
                <c:ptCount val="3"/>
                <c:pt idx="0">
                  <c:v>0</c:v>
                </c:pt>
                <c:pt idx="1">
                  <c:v>#N/A</c:v>
                </c:pt>
                <c:pt idx="2">
                  <c:v>#N/A</c:v>
                </c:pt>
              </c:numCache>
            </c:numRef>
          </c:val>
          <c:smooth val="0"/>
          <c:extLst>
            <c:ext xmlns:c16="http://schemas.microsoft.com/office/drawing/2014/chart" uri="{C3380CC4-5D6E-409C-BE32-E72D297353CC}">
              <c16:uniqueId val="{00000005-9541-4960-9958-68D46A91F98D}"/>
            </c:ext>
          </c:extLst>
        </c:ser>
        <c:ser>
          <c:idx val="3"/>
          <c:order val="3"/>
          <c:tx>
            <c:strRef>
              <c:f>SAISIE!$C$172</c:f>
              <c:strCache>
                <c:ptCount val="1"/>
                <c:pt idx="0">
                  <c:v>Produits phytosanitaires</c:v>
                </c:pt>
              </c:strCache>
            </c:strRef>
          </c:tx>
          <c:spPr>
            <a:ln w="28575" cap="rnd">
              <a:solidFill>
                <a:srgbClr val="00B0F0"/>
              </a:solidFill>
              <a:round/>
            </a:ln>
            <a:effectLst/>
          </c:spPr>
          <c:marker>
            <c:symbol val="circle"/>
            <c:size val="5"/>
            <c:spPr>
              <a:solidFill>
                <a:srgbClr val="00B0F0"/>
              </a:solidFill>
              <a:ln w="9525">
                <a:solidFill>
                  <a:srgbClr val="00B0F0"/>
                </a:solidFill>
              </a:ln>
              <a:effectLst/>
            </c:spPr>
          </c:marker>
          <c:cat>
            <c:multiLvlStrRef>
              <c:f>SAISIE!$E$168:$G$168</c:f>
            </c:multiLvlStrRef>
          </c:cat>
          <c:val>
            <c:numRef>
              <c:f>SAISIE!$E$172:$G$172</c:f>
              <c:numCache>
                <c:formatCode>0</c:formatCode>
                <c:ptCount val="3"/>
                <c:pt idx="0">
                  <c:v>0</c:v>
                </c:pt>
                <c:pt idx="1">
                  <c:v>#N/A</c:v>
                </c:pt>
                <c:pt idx="2">
                  <c:v>#N/A</c:v>
                </c:pt>
              </c:numCache>
            </c:numRef>
          </c:val>
          <c:smooth val="0"/>
          <c:extLst>
            <c:ext xmlns:c16="http://schemas.microsoft.com/office/drawing/2014/chart" uri="{C3380CC4-5D6E-409C-BE32-E72D297353CC}">
              <c16:uniqueId val="{00000006-9541-4960-9958-68D46A91F98D}"/>
            </c:ext>
          </c:extLst>
        </c:ser>
        <c:ser>
          <c:idx val="4"/>
          <c:order val="4"/>
          <c:tx>
            <c:strRef>
              <c:f>SAISIE!$C$173</c:f>
              <c:strCache>
                <c:ptCount val="1"/>
                <c:pt idx="0">
                  <c:v>Irrigation (redevance+énergie)</c:v>
                </c:pt>
              </c:strCache>
            </c:strRef>
          </c:tx>
          <c:spPr>
            <a:ln w="28575" cap="rnd">
              <a:solidFill>
                <a:srgbClr val="0070C0"/>
              </a:solidFill>
              <a:prstDash val="solid"/>
              <a:round/>
            </a:ln>
            <a:effectLst/>
          </c:spPr>
          <c:marker>
            <c:symbol val="circle"/>
            <c:size val="5"/>
            <c:spPr>
              <a:solidFill>
                <a:srgbClr val="0070C0"/>
              </a:solidFill>
              <a:ln w="9525">
                <a:solidFill>
                  <a:srgbClr val="0070C0"/>
                </a:solidFill>
              </a:ln>
              <a:effectLst/>
            </c:spPr>
          </c:marker>
          <c:cat>
            <c:multiLvlStrRef>
              <c:f>SAISIE!$E$168:$G$168</c:f>
            </c:multiLvlStrRef>
          </c:cat>
          <c:val>
            <c:numRef>
              <c:f>SAISIE!$E$173:$G$173</c:f>
              <c:numCache>
                <c:formatCode>0</c:formatCode>
                <c:ptCount val="3"/>
                <c:pt idx="0">
                  <c:v>0</c:v>
                </c:pt>
                <c:pt idx="1">
                  <c:v>#N/A</c:v>
                </c:pt>
                <c:pt idx="2">
                  <c:v>#N/A</c:v>
                </c:pt>
              </c:numCache>
            </c:numRef>
          </c:val>
          <c:smooth val="0"/>
          <c:extLst>
            <c:ext xmlns:c16="http://schemas.microsoft.com/office/drawing/2014/chart" uri="{C3380CC4-5D6E-409C-BE32-E72D297353CC}">
              <c16:uniqueId val="{00000007-9541-4960-9958-68D46A91F98D}"/>
            </c:ext>
          </c:extLst>
        </c:ser>
        <c:ser>
          <c:idx val="5"/>
          <c:order val="5"/>
          <c:tx>
            <c:strRef>
              <c:f>SAISIE!$C$174</c:f>
              <c:strCache>
                <c:ptCount val="1"/>
                <c:pt idx="0">
                  <c:v>Autres intrants</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multiLvlStrRef>
              <c:f>SAISIE!$E$168:$G$168</c:f>
            </c:multiLvlStrRef>
          </c:cat>
          <c:val>
            <c:numRef>
              <c:f>SAISIE!$E$174:$G$174</c:f>
              <c:numCache>
                <c:formatCode>0</c:formatCode>
                <c:ptCount val="3"/>
                <c:pt idx="0">
                  <c:v>0</c:v>
                </c:pt>
                <c:pt idx="1">
                  <c:v>#N/A</c:v>
                </c:pt>
                <c:pt idx="2">
                  <c:v>#N/A</c:v>
                </c:pt>
              </c:numCache>
            </c:numRef>
          </c:val>
          <c:smooth val="0"/>
          <c:extLst>
            <c:ext xmlns:c16="http://schemas.microsoft.com/office/drawing/2014/chart" uri="{C3380CC4-5D6E-409C-BE32-E72D297353CC}">
              <c16:uniqueId val="{00000008-9541-4960-9958-68D46A91F98D}"/>
            </c:ext>
          </c:extLst>
        </c:ser>
        <c:ser>
          <c:idx val="6"/>
          <c:order val="6"/>
          <c:tx>
            <c:strRef>
              <c:f>SAISIE!$C$175</c:f>
              <c:strCache>
                <c:ptCount val="1"/>
                <c:pt idx="0">
                  <c:v>Séchage</c:v>
                </c:pt>
              </c:strCache>
            </c:strRef>
          </c:tx>
          <c:spPr>
            <a:ln w="28575" cap="rnd">
              <a:solidFill>
                <a:srgbClr val="CC9900"/>
              </a:solidFill>
              <a:round/>
            </a:ln>
            <a:effectLst/>
          </c:spPr>
          <c:marker>
            <c:symbol val="circle"/>
            <c:size val="5"/>
            <c:spPr>
              <a:solidFill>
                <a:srgbClr val="CC9900"/>
              </a:solidFill>
              <a:ln w="9525">
                <a:solidFill>
                  <a:srgbClr val="CC9900"/>
                </a:solidFill>
              </a:ln>
              <a:effectLst/>
            </c:spPr>
          </c:marker>
          <c:cat>
            <c:multiLvlStrRef>
              <c:f>SAISIE!$E$168:$G$168</c:f>
            </c:multiLvlStrRef>
          </c:cat>
          <c:val>
            <c:numRef>
              <c:f>SAISIE!$E$175:$G$175</c:f>
              <c:numCache>
                <c:formatCode>0</c:formatCode>
                <c:ptCount val="3"/>
                <c:pt idx="0">
                  <c:v>0</c:v>
                </c:pt>
                <c:pt idx="1">
                  <c:v>#N/A</c:v>
                </c:pt>
                <c:pt idx="2">
                  <c:v>#N/A</c:v>
                </c:pt>
              </c:numCache>
            </c:numRef>
          </c:val>
          <c:smooth val="0"/>
          <c:extLst>
            <c:ext xmlns:c16="http://schemas.microsoft.com/office/drawing/2014/chart" uri="{C3380CC4-5D6E-409C-BE32-E72D297353CC}">
              <c16:uniqueId val="{00000009-9541-4960-9958-68D46A91F98D}"/>
            </c:ext>
          </c:extLst>
        </c:ser>
        <c:ser>
          <c:idx val="7"/>
          <c:order val="7"/>
          <c:tx>
            <c:strRef>
              <c:f>SAISIE!$C$176</c:f>
              <c:strCache>
                <c:ptCount val="1"/>
                <c:pt idx="0">
                  <c:v>Stockage (énergie)</c:v>
                </c:pt>
              </c:strCache>
            </c:strRef>
          </c:tx>
          <c:spPr>
            <a:ln w="28575" cap="rnd">
              <a:solidFill>
                <a:srgbClr val="CC00CC"/>
              </a:solidFill>
              <a:round/>
            </a:ln>
            <a:effectLst/>
          </c:spPr>
          <c:marker>
            <c:symbol val="circle"/>
            <c:size val="5"/>
            <c:spPr>
              <a:solidFill>
                <a:srgbClr val="CC00CC"/>
              </a:solidFill>
              <a:ln w="9525">
                <a:solidFill>
                  <a:srgbClr val="CC00CC"/>
                </a:solidFill>
              </a:ln>
              <a:effectLst/>
            </c:spPr>
          </c:marker>
          <c:cat>
            <c:multiLvlStrRef>
              <c:f>SAISIE!$E$168:$G$168</c:f>
            </c:multiLvlStrRef>
          </c:cat>
          <c:val>
            <c:numRef>
              <c:f>SAISIE!$E$176:$G$176</c:f>
              <c:numCache>
                <c:formatCode>0</c:formatCode>
                <c:ptCount val="3"/>
                <c:pt idx="0">
                  <c:v>0</c:v>
                </c:pt>
                <c:pt idx="1">
                  <c:v>#N/A</c:v>
                </c:pt>
                <c:pt idx="2">
                  <c:v>#N/A</c:v>
                </c:pt>
              </c:numCache>
            </c:numRef>
          </c:val>
          <c:smooth val="0"/>
          <c:extLst>
            <c:ext xmlns:c16="http://schemas.microsoft.com/office/drawing/2014/chart" uri="{C3380CC4-5D6E-409C-BE32-E72D297353CC}">
              <c16:uniqueId val="{0000000A-9541-4960-9958-68D46A91F98D}"/>
            </c:ext>
          </c:extLst>
        </c:ser>
        <c:ser>
          <c:idx val="8"/>
          <c:order val="8"/>
          <c:tx>
            <c:strRef>
              <c:f>SAISIE!$C$177</c:f>
              <c:strCache>
                <c:ptCount val="1"/>
                <c:pt idx="0">
                  <c:v>Carburant</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B-9541-4960-9958-68D46A91F98D}"/>
                </c:ext>
              </c:extLst>
            </c:dLbl>
            <c:dLbl>
              <c:idx val="1"/>
              <c:delete val="1"/>
              <c:extLst>
                <c:ext xmlns:c15="http://schemas.microsoft.com/office/drawing/2012/chart" uri="{CE6537A1-D6FC-4f65-9D91-7224C49458BB}"/>
                <c:ext xmlns:c16="http://schemas.microsoft.com/office/drawing/2014/chart" uri="{C3380CC4-5D6E-409C-BE32-E72D297353CC}">
                  <c16:uniqueId val="{0000000C-9541-4960-9958-68D46A91F98D}"/>
                </c:ext>
              </c:extLst>
            </c:dLbl>
            <c:dLbl>
              <c:idx val="2"/>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7030A0"/>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D-9541-4960-9958-68D46A91F98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SAISIE!$E$168:$G$168</c:f>
            </c:multiLvlStrRef>
          </c:cat>
          <c:val>
            <c:numRef>
              <c:f>SAISIE!$E$177:$G$177</c:f>
              <c:numCache>
                <c:formatCode>0</c:formatCode>
                <c:ptCount val="3"/>
                <c:pt idx="0">
                  <c:v>0</c:v>
                </c:pt>
                <c:pt idx="1">
                  <c:v>#N/A</c:v>
                </c:pt>
                <c:pt idx="2">
                  <c:v>#N/A</c:v>
                </c:pt>
              </c:numCache>
            </c:numRef>
          </c:val>
          <c:smooth val="0"/>
          <c:extLst>
            <c:ext xmlns:c16="http://schemas.microsoft.com/office/drawing/2014/chart" uri="{C3380CC4-5D6E-409C-BE32-E72D297353CC}">
              <c16:uniqueId val="{0000000E-9541-4960-9958-68D46A91F98D}"/>
            </c:ext>
          </c:extLst>
        </c:ser>
        <c:ser>
          <c:idx val="9"/>
          <c:order val="9"/>
          <c:tx>
            <c:strRef>
              <c:f>SAISIE!$C$178</c:f>
              <c:strCache>
                <c:ptCount val="1"/>
                <c:pt idx="0">
                  <c:v>Entretien-réparation</c:v>
                </c:pt>
              </c:strCache>
            </c:strRef>
          </c:tx>
          <c:spPr>
            <a:ln w="28575" cap="rnd">
              <a:solidFill>
                <a:srgbClr val="CC00CC"/>
              </a:solidFill>
              <a:round/>
            </a:ln>
            <a:effectLst/>
          </c:spPr>
          <c:marker>
            <c:symbol val="circle"/>
            <c:size val="5"/>
            <c:spPr>
              <a:solidFill>
                <a:srgbClr val="CC00CC"/>
              </a:solidFill>
              <a:ln w="9525">
                <a:solidFill>
                  <a:srgbClr val="CC00CC"/>
                </a:solidFill>
              </a:ln>
              <a:effectLst/>
            </c:spPr>
          </c:marker>
          <c:cat>
            <c:multiLvlStrRef>
              <c:f>SAISIE!$E$168:$G$168</c:f>
            </c:multiLvlStrRef>
          </c:cat>
          <c:val>
            <c:numRef>
              <c:f>SAISIE!$E$178:$G$178</c:f>
              <c:numCache>
                <c:formatCode>0</c:formatCode>
                <c:ptCount val="3"/>
                <c:pt idx="0">
                  <c:v>0</c:v>
                </c:pt>
                <c:pt idx="1">
                  <c:v>#N/A</c:v>
                </c:pt>
                <c:pt idx="2">
                  <c:v>#N/A</c:v>
                </c:pt>
              </c:numCache>
            </c:numRef>
          </c:val>
          <c:smooth val="0"/>
          <c:extLst>
            <c:ext xmlns:c16="http://schemas.microsoft.com/office/drawing/2014/chart" uri="{C3380CC4-5D6E-409C-BE32-E72D297353CC}">
              <c16:uniqueId val="{0000000F-9541-4960-9958-68D46A91F98D}"/>
            </c:ext>
          </c:extLst>
        </c:ser>
        <c:ser>
          <c:idx val="10"/>
          <c:order val="10"/>
          <c:tx>
            <c:strRef>
              <c:f>SAISIE!$C$179</c:f>
              <c:strCache>
                <c:ptCount val="1"/>
                <c:pt idx="0">
                  <c:v>Travaux par tiers</c:v>
                </c:pt>
              </c:strCache>
            </c:strRef>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multiLvlStrRef>
              <c:f>SAISIE!$E$168:$G$168</c:f>
            </c:multiLvlStrRef>
          </c:cat>
          <c:val>
            <c:numRef>
              <c:f>SAISIE!$E$179:$G$179</c:f>
              <c:numCache>
                <c:formatCode>0</c:formatCode>
                <c:ptCount val="3"/>
                <c:pt idx="0">
                  <c:v>0</c:v>
                </c:pt>
                <c:pt idx="1">
                  <c:v>#N/A</c:v>
                </c:pt>
                <c:pt idx="2">
                  <c:v>#N/A</c:v>
                </c:pt>
              </c:numCache>
            </c:numRef>
          </c:val>
          <c:smooth val="0"/>
          <c:extLst>
            <c:ext xmlns:c16="http://schemas.microsoft.com/office/drawing/2014/chart" uri="{C3380CC4-5D6E-409C-BE32-E72D297353CC}">
              <c16:uniqueId val="{00000010-9541-4960-9958-68D46A91F98D}"/>
            </c:ext>
          </c:extLst>
        </c:ser>
        <c:ser>
          <c:idx val="11"/>
          <c:order val="11"/>
          <c:tx>
            <c:strRef>
              <c:f>SAISIE!$C$180</c:f>
              <c:strCache>
                <c:ptCount val="1"/>
                <c:pt idx="0">
                  <c:v>Autres charges (1)</c:v>
                </c:pt>
              </c:strCache>
            </c:strRef>
          </c:tx>
          <c:spPr>
            <a:ln w="28575" cap="rnd">
              <a:solidFill>
                <a:sysClr val="window" lastClr="FFFFFF">
                  <a:lumMod val="65000"/>
                </a:sysClr>
              </a:solidFill>
              <a:round/>
            </a:ln>
            <a:effectLst/>
          </c:spPr>
          <c:marker>
            <c:symbol val="circle"/>
            <c:size val="5"/>
            <c:spPr>
              <a:solidFill>
                <a:sysClr val="window" lastClr="FFFFFF">
                  <a:lumMod val="65000"/>
                </a:sysClr>
              </a:solidFill>
              <a:ln w="9525">
                <a:solidFill>
                  <a:sysClr val="window" lastClr="FFFFFF">
                    <a:lumMod val="65000"/>
                  </a:sysClr>
                </a:solidFill>
              </a:ln>
              <a:effectLst/>
            </c:spPr>
          </c:marker>
          <c:cat>
            <c:multiLvlStrRef>
              <c:f>SAISIE!$E$168:$G$168</c:f>
            </c:multiLvlStrRef>
          </c:cat>
          <c:val>
            <c:numRef>
              <c:f>SAISIE!$E$180:$G$180</c:f>
              <c:numCache>
                <c:formatCode>0</c:formatCode>
                <c:ptCount val="3"/>
                <c:pt idx="0">
                  <c:v>0</c:v>
                </c:pt>
                <c:pt idx="1">
                  <c:v>#N/A</c:v>
                </c:pt>
                <c:pt idx="2">
                  <c:v>#N/A</c:v>
                </c:pt>
              </c:numCache>
            </c:numRef>
          </c:val>
          <c:smooth val="0"/>
          <c:extLst>
            <c:ext xmlns:c16="http://schemas.microsoft.com/office/drawing/2014/chart" uri="{C3380CC4-5D6E-409C-BE32-E72D297353CC}">
              <c16:uniqueId val="{00000011-9541-4960-9958-68D46A91F98D}"/>
            </c:ext>
          </c:extLst>
        </c:ser>
        <c:ser>
          <c:idx val="12"/>
          <c:order val="12"/>
          <c:tx>
            <c:strRef>
              <c:f>SAISIE!$C$181</c:f>
              <c:strCache>
                <c:ptCount val="1"/>
                <c:pt idx="0">
                  <c:v>Rémunération de la MO familiale</c:v>
                </c:pt>
              </c:strCache>
            </c:strRef>
          </c:tx>
          <c:spPr>
            <a:ln w="28575" cap="rnd">
              <a:solidFill>
                <a:srgbClr val="4BACC6">
                  <a:lumMod val="75000"/>
                </a:srgbClr>
              </a:solidFill>
              <a:round/>
            </a:ln>
            <a:effectLst/>
          </c:spPr>
          <c:marker>
            <c:symbol val="circle"/>
            <c:size val="5"/>
            <c:spPr>
              <a:solidFill>
                <a:srgbClr val="4BACC6">
                  <a:lumMod val="75000"/>
                </a:srgbClr>
              </a:solidFill>
              <a:ln w="9525">
                <a:solidFill>
                  <a:srgbClr val="4BACC6">
                    <a:lumMod val="75000"/>
                  </a:srgbClr>
                </a:solidFill>
              </a:ln>
              <a:effectLst/>
            </c:spPr>
          </c:marker>
          <c:cat>
            <c:multiLvlStrRef>
              <c:f>SAISIE!$E$168:$G$168</c:f>
            </c:multiLvlStrRef>
          </c:cat>
          <c:val>
            <c:numRef>
              <c:f>SAISIE!$E$181:$G$181</c:f>
              <c:numCache>
                <c:formatCode>0</c:formatCode>
                <c:ptCount val="3"/>
                <c:pt idx="0">
                  <c:v>0</c:v>
                </c:pt>
                <c:pt idx="1">
                  <c:v>#N/A</c:v>
                </c:pt>
                <c:pt idx="2">
                  <c:v>#N/A</c:v>
                </c:pt>
              </c:numCache>
            </c:numRef>
          </c:val>
          <c:smooth val="0"/>
          <c:extLst>
            <c:ext xmlns:c16="http://schemas.microsoft.com/office/drawing/2014/chart" uri="{C3380CC4-5D6E-409C-BE32-E72D297353CC}">
              <c16:uniqueId val="{00000012-9541-4960-9958-68D46A91F98D}"/>
            </c:ext>
          </c:extLst>
        </c:ser>
        <c:ser>
          <c:idx val="13"/>
          <c:order val="13"/>
          <c:tx>
            <c:strRef>
              <c:f>SAISIE!$C$182</c:f>
              <c:strCache>
                <c:ptCount val="1"/>
                <c:pt idx="0">
                  <c:v>Total des charges</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13-9541-4960-9958-68D46A91F98D}"/>
                </c:ext>
              </c:extLst>
            </c:dLbl>
            <c:dLbl>
              <c:idx val="2"/>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541-4960-9958-68D46A91F98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0000"/>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SAISIE!$E$168:$G$168</c:f>
            </c:multiLvlStrRef>
          </c:cat>
          <c:val>
            <c:numRef>
              <c:f>SAISIE!$E$182:$G$182</c:f>
              <c:numCache>
                <c:formatCode>0</c:formatCode>
                <c:ptCount val="3"/>
                <c:pt idx="0">
                  <c:v>#N/A</c:v>
                </c:pt>
                <c:pt idx="1">
                  <c:v>#N/A</c:v>
                </c:pt>
                <c:pt idx="2">
                  <c:v>#N/A</c:v>
                </c:pt>
              </c:numCache>
            </c:numRef>
          </c:val>
          <c:smooth val="0"/>
          <c:extLst>
            <c:ext xmlns:c16="http://schemas.microsoft.com/office/drawing/2014/chart" uri="{C3380CC4-5D6E-409C-BE32-E72D297353CC}">
              <c16:uniqueId val="{00000015-9541-4960-9958-68D46A91F98D}"/>
            </c:ext>
          </c:extLst>
        </c:ser>
        <c:dLbls>
          <c:showLegendKey val="0"/>
          <c:showVal val="0"/>
          <c:showCatName val="0"/>
          <c:showSerName val="0"/>
          <c:showPercent val="0"/>
          <c:showBubbleSize val="0"/>
        </c:dLbls>
        <c:marker val="1"/>
        <c:smooth val="0"/>
        <c:axId val="625307560"/>
        <c:axId val="625301328"/>
      </c:lineChart>
      <c:catAx>
        <c:axId val="625307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625301328"/>
        <c:crosses val="autoZero"/>
        <c:auto val="1"/>
        <c:lblAlgn val="ctr"/>
        <c:lblOffset val="100"/>
        <c:noMultiLvlLbl val="0"/>
      </c:catAx>
      <c:valAx>
        <c:axId val="625301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625307560"/>
        <c:crosses val="autoZero"/>
        <c:crossBetween val="between"/>
      </c:valAx>
      <c:spPr>
        <a:noFill/>
        <a:ln>
          <a:noFill/>
        </a:ln>
        <a:effectLst/>
      </c:spPr>
    </c:plotArea>
    <c:plotVisOnly val="0"/>
    <c:dispBlanksAs val="gap"/>
    <c:showDLblsOverMax val="0"/>
    <c:extLst/>
  </c:chart>
  <c:spPr>
    <a:solidFill>
      <a:schemeClr val="bg1"/>
    </a:solidFill>
    <a:ln w="9525" cap="flat" cmpd="sng" algn="ctr">
      <a:solidFill>
        <a:sysClr val="window" lastClr="FFFFFF">
          <a:lumMod val="65000"/>
        </a:sysClr>
      </a:solidFill>
      <a:round/>
    </a:ln>
    <a:effectLst/>
  </c:spPr>
  <c:txPr>
    <a:bodyPr/>
    <a:lstStyle/>
    <a:p>
      <a:pPr>
        <a:defRPr sz="1400" b="1">
          <a:solidFill>
            <a:sysClr val="windowText" lastClr="000000"/>
          </a:solidFill>
        </a:defRPr>
      </a:pPr>
      <a:endParaRPr lang="fr-FR"/>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19020086122401"/>
          <c:y val="0.20424730223912618"/>
          <c:w val="0.77173231562402766"/>
          <c:h val="0.68571797127910827"/>
        </c:manualLayout>
      </c:layout>
      <c:barChart>
        <c:barDir val="col"/>
        <c:grouping val="stacked"/>
        <c:varyColors val="0"/>
        <c:ser>
          <c:idx val="0"/>
          <c:order val="0"/>
          <c:tx>
            <c:strRef>
              <c:f>SAISIE!$C$132</c:f>
              <c:strCache>
                <c:ptCount val="1"/>
                <c:pt idx="0">
                  <c:v>Semences</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SAISIE!$E$132:$G$132</c:f>
              <c:numCache>
                <c:formatCode>0</c:formatCode>
                <c:ptCount val="3"/>
                <c:pt idx="0">
                  <c:v>0</c:v>
                </c:pt>
                <c:pt idx="1">
                  <c:v>0</c:v>
                </c:pt>
                <c:pt idx="2">
                  <c:v>0</c:v>
                </c:pt>
              </c:numCache>
            </c:numRef>
          </c:val>
          <c:extLst>
            <c:ext xmlns:c16="http://schemas.microsoft.com/office/drawing/2014/chart" uri="{C3380CC4-5D6E-409C-BE32-E72D297353CC}">
              <c16:uniqueId val="{00000000-5916-403E-96DF-67B63A048DD6}"/>
            </c:ext>
          </c:extLst>
        </c:ser>
        <c:ser>
          <c:idx val="1"/>
          <c:order val="1"/>
          <c:tx>
            <c:strRef>
              <c:f>SAISIE!$C$133</c:f>
              <c:strCache>
                <c:ptCount val="1"/>
                <c:pt idx="0">
                  <c:v>Engrais total</c:v>
                </c:pt>
              </c:strCache>
            </c:strRef>
          </c:tx>
          <c:spPr>
            <a:solidFill>
              <a:srgbClr val="9BBB59">
                <a:lumMod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SAISIE!$E$133:$G$133</c:f>
              <c:numCache>
                <c:formatCode>0</c:formatCode>
                <c:ptCount val="3"/>
                <c:pt idx="0">
                  <c:v>0</c:v>
                </c:pt>
                <c:pt idx="1">
                  <c:v>0</c:v>
                </c:pt>
                <c:pt idx="2">
                  <c:v>0</c:v>
                </c:pt>
              </c:numCache>
            </c:numRef>
          </c:val>
          <c:extLst>
            <c:ext xmlns:c16="http://schemas.microsoft.com/office/drawing/2014/chart" uri="{C3380CC4-5D6E-409C-BE32-E72D297353CC}">
              <c16:uniqueId val="{00000001-5916-403E-96DF-67B63A048DD6}"/>
            </c:ext>
          </c:extLst>
        </c:ser>
        <c:ser>
          <c:idx val="2"/>
          <c:order val="2"/>
          <c:tx>
            <c:strRef>
              <c:f>SAISIE!$C$135</c:f>
              <c:strCache>
                <c:ptCount val="1"/>
                <c:pt idx="0">
                  <c:v>Produits phytosanitaires</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SAISIE!$E$135:$G$135</c:f>
              <c:numCache>
                <c:formatCode>0</c:formatCode>
                <c:ptCount val="3"/>
                <c:pt idx="0">
                  <c:v>0</c:v>
                </c:pt>
                <c:pt idx="1">
                  <c:v>0</c:v>
                </c:pt>
                <c:pt idx="2">
                  <c:v>0</c:v>
                </c:pt>
              </c:numCache>
            </c:numRef>
          </c:val>
          <c:extLst>
            <c:ext xmlns:c16="http://schemas.microsoft.com/office/drawing/2014/chart" uri="{C3380CC4-5D6E-409C-BE32-E72D297353CC}">
              <c16:uniqueId val="{00000002-5916-403E-96DF-67B63A048DD6}"/>
            </c:ext>
          </c:extLst>
        </c:ser>
        <c:ser>
          <c:idx val="3"/>
          <c:order val="3"/>
          <c:tx>
            <c:strRef>
              <c:f>SAISIE!$C$136</c:f>
              <c:strCache>
                <c:ptCount val="1"/>
                <c:pt idx="0">
                  <c:v>Irrigation (redevance+énergie)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SAISIE!$E$136:$G$136</c:f>
              <c:numCache>
                <c:formatCode>0</c:formatCode>
                <c:ptCount val="3"/>
                <c:pt idx="0">
                  <c:v>0</c:v>
                </c:pt>
                <c:pt idx="1">
                  <c:v>0</c:v>
                </c:pt>
                <c:pt idx="2">
                  <c:v>0</c:v>
                </c:pt>
              </c:numCache>
            </c:numRef>
          </c:val>
          <c:extLst>
            <c:ext xmlns:c16="http://schemas.microsoft.com/office/drawing/2014/chart" uri="{C3380CC4-5D6E-409C-BE32-E72D297353CC}">
              <c16:uniqueId val="{00000003-5916-403E-96DF-67B63A048DD6}"/>
            </c:ext>
          </c:extLst>
        </c:ser>
        <c:ser>
          <c:idx val="4"/>
          <c:order val="4"/>
          <c:tx>
            <c:strRef>
              <c:f>SAISIE!$C$137</c:f>
              <c:strCache>
                <c:ptCount val="1"/>
                <c:pt idx="0">
                  <c:v>Autres intrants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SAISIE!$E$137:$G$137</c:f>
              <c:numCache>
                <c:formatCode>0</c:formatCode>
                <c:ptCount val="3"/>
                <c:pt idx="0">
                  <c:v>0</c:v>
                </c:pt>
                <c:pt idx="1">
                  <c:v>0</c:v>
                </c:pt>
                <c:pt idx="2">
                  <c:v>0</c:v>
                </c:pt>
              </c:numCache>
            </c:numRef>
          </c:val>
          <c:extLst>
            <c:ext xmlns:c16="http://schemas.microsoft.com/office/drawing/2014/chart" uri="{C3380CC4-5D6E-409C-BE32-E72D297353CC}">
              <c16:uniqueId val="{00000004-5916-403E-96DF-67B63A048DD6}"/>
            </c:ext>
          </c:extLst>
        </c:ser>
        <c:ser>
          <c:idx val="5"/>
          <c:order val="5"/>
          <c:tx>
            <c:strRef>
              <c:f>SAISIE!$C$138</c:f>
              <c:strCache>
                <c:ptCount val="1"/>
                <c:pt idx="0">
                  <c:v>Séchage</c:v>
                </c:pt>
              </c:strCache>
            </c:strRef>
          </c:tx>
          <c:spPr>
            <a:solidFill>
              <a:srgbClr val="CC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SAISIE!$E$138:$G$138</c:f>
              <c:numCache>
                <c:formatCode>0</c:formatCode>
                <c:ptCount val="3"/>
                <c:pt idx="0">
                  <c:v>0</c:v>
                </c:pt>
                <c:pt idx="1">
                  <c:v>0</c:v>
                </c:pt>
                <c:pt idx="2">
                  <c:v>0</c:v>
                </c:pt>
              </c:numCache>
            </c:numRef>
          </c:val>
          <c:extLst>
            <c:ext xmlns:c16="http://schemas.microsoft.com/office/drawing/2014/chart" uri="{C3380CC4-5D6E-409C-BE32-E72D297353CC}">
              <c16:uniqueId val="{00000005-5916-403E-96DF-67B63A048DD6}"/>
            </c:ext>
          </c:extLst>
        </c:ser>
        <c:ser>
          <c:idx val="6"/>
          <c:order val="6"/>
          <c:tx>
            <c:strRef>
              <c:f>SAISIE!$C$139</c:f>
              <c:strCache>
                <c:ptCount val="1"/>
                <c:pt idx="0">
                  <c:v>Stockage (énergie)</c:v>
                </c:pt>
              </c:strCache>
            </c:strRef>
          </c:tx>
          <c:spPr>
            <a:solidFill>
              <a:srgbClr val="F79646">
                <a:lumMod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SAISIE!$E$139:$G$139</c:f>
              <c:numCache>
                <c:formatCode>0</c:formatCode>
                <c:ptCount val="3"/>
                <c:pt idx="0">
                  <c:v>0</c:v>
                </c:pt>
                <c:pt idx="1">
                  <c:v>0</c:v>
                </c:pt>
                <c:pt idx="2">
                  <c:v>0</c:v>
                </c:pt>
              </c:numCache>
            </c:numRef>
          </c:val>
          <c:extLst>
            <c:ext xmlns:c16="http://schemas.microsoft.com/office/drawing/2014/chart" uri="{C3380CC4-5D6E-409C-BE32-E72D297353CC}">
              <c16:uniqueId val="{00000006-5916-403E-96DF-67B63A048DD6}"/>
            </c:ext>
          </c:extLst>
        </c:ser>
        <c:ser>
          <c:idx val="7"/>
          <c:order val="7"/>
          <c:tx>
            <c:strRef>
              <c:f>SAISIE!$C$140</c:f>
              <c:strCache>
                <c:ptCount val="1"/>
                <c:pt idx="0">
                  <c:v>Carburant</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SAISIE!$E$140:$G$140</c:f>
              <c:numCache>
                <c:formatCode>0</c:formatCode>
                <c:ptCount val="3"/>
                <c:pt idx="0">
                  <c:v>0</c:v>
                </c:pt>
                <c:pt idx="1">
                  <c:v>0</c:v>
                </c:pt>
                <c:pt idx="2">
                  <c:v>0</c:v>
                </c:pt>
              </c:numCache>
            </c:numRef>
          </c:val>
          <c:extLst>
            <c:ext xmlns:c16="http://schemas.microsoft.com/office/drawing/2014/chart" uri="{C3380CC4-5D6E-409C-BE32-E72D297353CC}">
              <c16:uniqueId val="{00000007-5916-403E-96DF-67B63A048DD6}"/>
            </c:ext>
          </c:extLst>
        </c:ser>
        <c:ser>
          <c:idx val="8"/>
          <c:order val="8"/>
          <c:tx>
            <c:strRef>
              <c:f>SAISIE!$C$141</c:f>
              <c:strCache>
                <c:ptCount val="1"/>
                <c:pt idx="0">
                  <c:v>Entretien-réparation</c:v>
                </c:pt>
              </c:strCache>
            </c:strRef>
          </c:tx>
          <c:spPr>
            <a:solidFill>
              <a:srgbClr val="CC00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SAISIE!$E$141:$G$141</c:f>
              <c:numCache>
                <c:formatCode>0</c:formatCode>
                <c:ptCount val="3"/>
                <c:pt idx="0">
                  <c:v>0</c:v>
                </c:pt>
                <c:pt idx="1">
                  <c:v>0</c:v>
                </c:pt>
                <c:pt idx="2">
                  <c:v>0</c:v>
                </c:pt>
              </c:numCache>
            </c:numRef>
          </c:val>
          <c:extLst>
            <c:ext xmlns:c16="http://schemas.microsoft.com/office/drawing/2014/chart" uri="{C3380CC4-5D6E-409C-BE32-E72D297353CC}">
              <c16:uniqueId val="{00000008-5916-403E-96DF-67B63A048DD6}"/>
            </c:ext>
          </c:extLst>
        </c:ser>
        <c:ser>
          <c:idx val="9"/>
          <c:order val="9"/>
          <c:tx>
            <c:strRef>
              <c:f>SAISIE!$C$142</c:f>
              <c:strCache>
                <c:ptCount val="1"/>
                <c:pt idx="0">
                  <c:v>Travaux par tiers</c:v>
                </c:pt>
              </c:strCache>
            </c:strRef>
          </c:tx>
          <c:spPr>
            <a:solidFill>
              <a:srgbClr val="F79646">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SAISIE!$E$142:$G$142</c:f>
              <c:numCache>
                <c:formatCode>0</c:formatCode>
                <c:ptCount val="3"/>
                <c:pt idx="0">
                  <c:v>0</c:v>
                </c:pt>
                <c:pt idx="1">
                  <c:v>0</c:v>
                </c:pt>
                <c:pt idx="2">
                  <c:v>0</c:v>
                </c:pt>
              </c:numCache>
            </c:numRef>
          </c:val>
          <c:extLst>
            <c:ext xmlns:c16="http://schemas.microsoft.com/office/drawing/2014/chart" uri="{C3380CC4-5D6E-409C-BE32-E72D297353CC}">
              <c16:uniqueId val="{00000009-5916-403E-96DF-67B63A048DD6}"/>
            </c:ext>
          </c:extLst>
        </c:ser>
        <c:ser>
          <c:idx val="10"/>
          <c:order val="10"/>
          <c:tx>
            <c:strRef>
              <c:f>SAISIE!$C$143</c:f>
              <c:strCache>
                <c:ptCount val="1"/>
                <c:pt idx="0">
                  <c:v>Autres charges (1)</c:v>
                </c:pt>
              </c:strCache>
            </c:strRef>
          </c:tx>
          <c:spPr>
            <a:solidFill>
              <a:sysClr val="window" lastClr="FFFFFF">
                <a:lumMod val="6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SAISIE!$E$143:$G$143</c:f>
              <c:numCache>
                <c:formatCode>0</c:formatCode>
                <c:ptCount val="3"/>
                <c:pt idx="0">
                  <c:v>0</c:v>
                </c:pt>
                <c:pt idx="1">
                  <c:v>0</c:v>
                </c:pt>
                <c:pt idx="2">
                  <c:v>0</c:v>
                </c:pt>
              </c:numCache>
            </c:numRef>
          </c:val>
          <c:extLst>
            <c:ext xmlns:c16="http://schemas.microsoft.com/office/drawing/2014/chart" uri="{C3380CC4-5D6E-409C-BE32-E72D297353CC}">
              <c16:uniqueId val="{0000000A-5916-403E-96DF-67B63A048DD6}"/>
            </c:ext>
          </c:extLst>
        </c:ser>
        <c:ser>
          <c:idx val="11"/>
          <c:order val="11"/>
          <c:tx>
            <c:strRef>
              <c:f>SAISIE!$C$144</c:f>
              <c:strCache>
                <c:ptCount val="1"/>
                <c:pt idx="0">
                  <c:v>Rémunération de la MO familiale</c:v>
                </c:pt>
              </c:strCache>
            </c:strRef>
          </c:tx>
          <c:spPr>
            <a:solidFill>
              <a:srgbClr val="4BACC6">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SAISIE!$E$144:$G$144</c:f>
              <c:numCache>
                <c:formatCode>0</c:formatCode>
                <c:ptCount val="3"/>
                <c:pt idx="0">
                  <c:v>0</c:v>
                </c:pt>
                <c:pt idx="1">
                  <c:v>0</c:v>
                </c:pt>
                <c:pt idx="2">
                  <c:v>0</c:v>
                </c:pt>
              </c:numCache>
            </c:numRef>
          </c:val>
          <c:extLst>
            <c:ext xmlns:c16="http://schemas.microsoft.com/office/drawing/2014/chart" uri="{C3380CC4-5D6E-409C-BE32-E72D297353CC}">
              <c16:uniqueId val="{0000000B-5916-403E-96DF-67B63A048DD6}"/>
            </c:ext>
          </c:extLst>
        </c:ser>
        <c:dLbls>
          <c:showLegendKey val="0"/>
          <c:showVal val="0"/>
          <c:showCatName val="0"/>
          <c:showSerName val="0"/>
          <c:showPercent val="0"/>
          <c:showBubbleSize val="0"/>
        </c:dLbls>
        <c:gapWidth val="30"/>
        <c:overlap val="100"/>
        <c:axId val="626189608"/>
        <c:axId val="626191904"/>
      </c:barChart>
      <c:catAx>
        <c:axId val="626189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626191904"/>
        <c:crosses val="autoZero"/>
        <c:auto val="1"/>
        <c:lblAlgn val="ctr"/>
        <c:lblOffset val="100"/>
        <c:noMultiLvlLbl val="0"/>
      </c:catAx>
      <c:valAx>
        <c:axId val="626191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626189608"/>
        <c:crosses val="autoZero"/>
        <c:crossBetween val="between"/>
      </c:valAx>
      <c:spPr>
        <a:noFill/>
        <a:ln>
          <a:noFill/>
        </a:ln>
        <a:effectLst/>
      </c:spPr>
    </c:plotArea>
    <c:plotVisOnly val="0"/>
    <c:dispBlanksAs val="gap"/>
    <c:showDLblsOverMax val="0"/>
    <c:extLst/>
  </c:chart>
  <c:spPr>
    <a:noFill/>
    <a:ln w="9525" cap="flat" cmpd="sng" algn="ctr">
      <a:solidFill>
        <a:schemeClr val="bg1">
          <a:lumMod val="65000"/>
        </a:schemeClr>
      </a:solidFill>
      <a:round/>
    </a:ln>
    <a:effectLst/>
  </c:spPr>
  <c:txPr>
    <a:bodyPr/>
    <a:lstStyle/>
    <a:p>
      <a:pPr>
        <a:defRPr/>
      </a:pPr>
      <a:endParaRPr lang="fr-FR"/>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4455380577428"/>
          <c:y val="0.12596593190431768"/>
          <c:w val="0.82146801181102358"/>
          <c:h val="0.66566176691283074"/>
        </c:manualLayout>
      </c:layout>
      <c:barChart>
        <c:barDir val="col"/>
        <c:grouping val="clustered"/>
        <c:varyColors val="0"/>
        <c:ser>
          <c:idx val="6"/>
          <c:order val="0"/>
          <c:tx>
            <c:strRef>
              <c:f>SAISIE!$D$192</c:f>
              <c:strCache>
                <c:ptCount val="1"/>
                <c:pt idx="0">
                  <c:v>Rdt moyen</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SAISIE!$E$191:$G$191</c:f>
              <c:numCache>
                <c:formatCode>General</c:formatCode>
                <c:ptCount val="3"/>
                <c:pt idx="0">
                  <c:v>0</c:v>
                </c:pt>
                <c:pt idx="1">
                  <c:v>0</c:v>
                </c:pt>
                <c:pt idx="2">
                  <c:v>0</c:v>
                </c:pt>
              </c:numCache>
            </c:numRef>
          </c:cat>
          <c:val>
            <c:numRef>
              <c:f>SAISIE!$E$192:$G$192</c:f>
              <c:numCache>
                <c:formatCode>0</c:formatCode>
                <c:ptCount val="3"/>
                <c:pt idx="0">
                  <c:v>0</c:v>
                </c:pt>
                <c:pt idx="1">
                  <c:v>0</c:v>
                </c:pt>
                <c:pt idx="2">
                  <c:v>0</c:v>
                </c:pt>
              </c:numCache>
            </c:numRef>
          </c:val>
          <c:extLst>
            <c:ext xmlns:c16="http://schemas.microsoft.com/office/drawing/2014/chart" uri="{C3380CC4-5D6E-409C-BE32-E72D297353CC}">
              <c16:uniqueId val="{00000000-B884-407A-81DB-C016FCAE1553}"/>
            </c:ext>
          </c:extLst>
        </c:ser>
        <c:dLbls>
          <c:showLegendKey val="0"/>
          <c:showVal val="0"/>
          <c:showCatName val="0"/>
          <c:showSerName val="0"/>
          <c:showPercent val="0"/>
          <c:showBubbleSize val="0"/>
        </c:dLbls>
        <c:gapWidth val="100"/>
        <c:axId val="542265592"/>
        <c:axId val="542262640"/>
      </c:barChart>
      <c:lineChart>
        <c:grouping val="standard"/>
        <c:varyColors val="0"/>
        <c:ser>
          <c:idx val="8"/>
          <c:order val="1"/>
          <c:tx>
            <c:strRef>
              <c:f>SAISIE!$D$193</c:f>
              <c:strCache>
                <c:ptCount val="1"/>
                <c:pt idx="0">
                  <c:v>Rdt min</c:v>
                </c:pt>
              </c:strCache>
            </c:strRef>
          </c:tx>
          <c:spPr>
            <a:ln w="28575" cap="rnd">
              <a:noFill/>
              <a:round/>
            </a:ln>
            <a:effectLst/>
          </c:spPr>
          <c:marker>
            <c:symbol val="square"/>
            <c:size val="10"/>
            <c:spPr>
              <a:solidFill>
                <a:srgbClr val="FF0000"/>
              </a:solidFill>
              <a:ln w="9525">
                <a:solidFill>
                  <a:srgbClr val="FF0000"/>
                </a:solidFill>
              </a:ln>
              <a:effectLst/>
            </c:spPr>
          </c:marker>
          <c:dLbls>
            <c:spPr>
              <a:solidFill>
                <a:schemeClr val="bg1"/>
              </a:solidFill>
              <a:ln w="25400">
                <a:solidFill>
                  <a:srgbClr val="FF0000"/>
                </a:solid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SAISIE!$E$191:$G$191</c:f>
              <c:numCache>
                <c:formatCode>General</c:formatCode>
                <c:ptCount val="3"/>
                <c:pt idx="0">
                  <c:v>0</c:v>
                </c:pt>
                <c:pt idx="1">
                  <c:v>0</c:v>
                </c:pt>
                <c:pt idx="2">
                  <c:v>0</c:v>
                </c:pt>
              </c:numCache>
            </c:numRef>
          </c:cat>
          <c:val>
            <c:numRef>
              <c:f>SAISIE!$E$193:$G$193</c:f>
              <c:numCache>
                <c:formatCode>0</c:formatCode>
                <c:ptCount val="3"/>
                <c:pt idx="0">
                  <c:v>0</c:v>
                </c:pt>
                <c:pt idx="1">
                  <c:v>0</c:v>
                </c:pt>
                <c:pt idx="2">
                  <c:v>0</c:v>
                </c:pt>
              </c:numCache>
            </c:numRef>
          </c:val>
          <c:smooth val="0"/>
          <c:extLst>
            <c:ext xmlns:c16="http://schemas.microsoft.com/office/drawing/2014/chart" uri="{C3380CC4-5D6E-409C-BE32-E72D297353CC}">
              <c16:uniqueId val="{00000001-B884-407A-81DB-C016FCAE1553}"/>
            </c:ext>
          </c:extLst>
        </c:ser>
        <c:ser>
          <c:idx val="10"/>
          <c:order val="2"/>
          <c:tx>
            <c:strRef>
              <c:f>SAISIE!$D$194</c:f>
              <c:strCache>
                <c:ptCount val="1"/>
                <c:pt idx="0">
                  <c:v>Rdt max</c:v>
                </c:pt>
              </c:strCache>
            </c:strRef>
          </c:tx>
          <c:spPr>
            <a:ln w="28575" cap="rnd">
              <a:noFill/>
              <a:round/>
            </a:ln>
            <a:effectLst/>
          </c:spPr>
          <c:marker>
            <c:symbol val="circle"/>
            <c:size val="10"/>
            <c:spPr>
              <a:solidFill>
                <a:srgbClr val="92D050"/>
              </a:solidFill>
              <a:ln w="9525">
                <a:solidFill>
                  <a:srgbClr val="92D050"/>
                </a:solidFill>
              </a:ln>
              <a:effectLst/>
            </c:spPr>
          </c:marker>
          <c:dLbls>
            <c:spPr>
              <a:solidFill>
                <a:schemeClr val="bg1"/>
              </a:solidFill>
              <a:ln w="25400">
                <a:solidFill>
                  <a:srgbClr val="92D050"/>
                </a:solid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SAISIE!$E$191:$G$191</c:f>
              <c:numCache>
                <c:formatCode>General</c:formatCode>
                <c:ptCount val="3"/>
                <c:pt idx="0">
                  <c:v>0</c:v>
                </c:pt>
                <c:pt idx="1">
                  <c:v>0</c:v>
                </c:pt>
                <c:pt idx="2">
                  <c:v>0</c:v>
                </c:pt>
              </c:numCache>
            </c:numRef>
          </c:cat>
          <c:val>
            <c:numRef>
              <c:f>SAISIE!$E$194:$G$194</c:f>
              <c:numCache>
                <c:formatCode>0</c:formatCode>
                <c:ptCount val="3"/>
                <c:pt idx="0">
                  <c:v>0</c:v>
                </c:pt>
                <c:pt idx="1">
                  <c:v>0</c:v>
                </c:pt>
                <c:pt idx="2">
                  <c:v>0</c:v>
                </c:pt>
              </c:numCache>
            </c:numRef>
          </c:val>
          <c:smooth val="0"/>
          <c:extLst>
            <c:ext xmlns:c16="http://schemas.microsoft.com/office/drawing/2014/chart" uri="{C3380CC4-5D6E-409C-BE32-E72D297353CC}">
              <c16:uniqueId val="{00000002-B884-407A-81DB-C016FCAE1553}"/>
            </c:ext>
          </c:extLst>
        </c:ser>
        <c:ser>
          <c:idx val="0"/>
          <c:order val="3"/>
          <c:tx>
            <c:strRef>
              <c:f>SAISIE!$D$195</c:f>
              <c:strCache>
                <c:ptCount val="1"/>
              </c:strCache>
            </c:strRef>
          </c:tx>
          <c:spPr>
            <a:ln w="25400" cap="rnd">
              <a:noFill/>
              <a:round/>
            </a:ln>
            <a:effectLst/>
          </c:spPr>
          <c:marker>
            <c:symbol val="circle"/>
            <c:size val="5"/>
            <c:spPr>
              <a:noFill/>
              <a:ln w="9525">
                <a:noFill/>
              </a:ln>
              <a:effectLst/>
            </c:spPr>
          </c:marker>
          <c:cat>
            <c:numRef>
              <c:f>SAISIE!$E$191:$G$191</c:f>
              <c:numCache>
                <c:formatCode>General</c:formatCode>
                <c:ptCount val="3"/>
                <c:pt idx="0">
                  <c:v>0</c:v>
                </c:pt>
                <c:pt idx="1">
                  <c:v>0</c:v>
                </c:pt>
                <c:pt idx="2">
                  <c:v>0</c:v>
                </c:pt>
              </c:numCache>
            </c:numRef>
          </c:cat>
          <c:val>
            <c:numRef>
              <c:f>SAISIE!$E$195:$G$195</c:f>
              <c:numCache>
                <c:formatCode>0</c:formatCode>
                <c:ptCount val="3"/>
                <c:pt idx="0">
                  <c:v>0</c:v>
                </c:pt>
                <c:pt idx="1">
                  <c:v>0</c:v>
                </c:pt>
                <c:pt idx="2">
                  <c:v>0</c:v>
                </c:pt>
              </c:numCache>
            </c:numRef>
          </c:val>
          <c:smooth val="0"/>
          <c:extLst>
            <c:ext xmlns:c16="http://schemas.microsoft.com/office/drawing/2014/chart" uri="{C3380CC4-5D6E-409C-BE32-E72D297353CC}">
              <c16:uniqueId val="{00000003-B884-407A-81DB-C016FCAE1553}"/>
            </c:ext>
          </c:extLst>
        </c:ser>
        <c:dLbls>
          <c:showLegendKey val="0"/>
          <c:showVal val="0"/>
          <c:showCatName val="0"/>
          <c:showSerName val="0"/>
          <c:showPercent val="0"/>
          <c:showBubbleSize val="0"/>
        </c:dLbls>
        <c:marker val="1"/>
        <c:smooth val="0"/>
        <c:axId val="542265592"/>
        <c:axId val="542262640"/>
      </c:lineChart>
      <c:catAx>
        <c:axId val="542265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542262640"/>
        <c:crosses val="autoZero"/>
        <c:auto val="1"/>
        <c:lblAlgn val="ctr"/>
        <c:lblOffset val="100"/>
        <c:noMultiLvlLbl val="0"/>
      </c:catAx>
      <c:valAx>
        <c:axId val="542262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542265592"/>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bg1">
          <a:lumMod val="6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fr-FR">
                <a:solidFill>
                  <a:schemeClr val="tx1"/>
                </a:solidFill>
              </a:rPr>
              <a:t>Marge (€/hectare)</a:t>
            </a:r>
          </a:p>
        </c:rich>
      </c:tx>
      <c:layout>
        <c:manualLayout>
          <c:xMode val="edge"/>
          <c:yMode val="edge"/>
          <c:x val="0.35139787012700274"/>
          <c:y val="3.0379599070623478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fr-FR"/>
        </a:p>
      </c:txPr>
    </c:title>
    <c:autoTitleDeleted val="0"/>
    <c:plotArea>
      <c:layout>
        <c:manualLayout>
          <c:layoutTarget val="inner"/>
          <c:xMode val="edge"/>
          <c:yMode val="edge"/>
          <c:x val="0.16694316150787017"/>
          <c:y val="0.13213546813407306"/>
          <c:w val="0.79225834377711812"/>
          <c:h val="0.65753911912920726"/>
        </c:manualLayout>
      </c:layout>
      <c:barChart>
        <c:barDir val="col"/>
        <c:grouping val="clustered"/>
        <c:varyColors val="0"/>
        <c:ser>
          <c:idx val="6"/>
          <c:order val="0"/>
          <c:tx>
            <c:strRef>
              <c:f>SAISIE!$K$192</c:f>
              <c:strCache>
                <c:ptCount val="1"/>
                <c:pt idx="0">
                  <c:v>Rdt moyen</c:v>
                </c:pt>
              </c:strCache>
            </c:strRef>
          </c:tx>
          <c:spPr>
            <a:solidFill>
              <a:srgbClr val="4BACC6">
                <a:lumMod val="75000"/>
              </a:srgbClr>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7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SAISIE!$L$191:$N$191</c:f>
              <c:numCache>
                <c:formatCode>General</c:formatCode>
                <c:ptCount val="3"/>
                <c:pt idx="0">
                  <c:v>0</c:v>
                </c:pt>
                <c:pt idx="1">
                  <c:v>0</c:v>
                </c:pt>
                <c:pt idx="2">
                  <c:v>0</c:v>
                </c:pt>
              </c:numCache>
            </c:numRef>
          </c:cat>
          <c:val>
            <c:numRef>
              <c:f>SAISIE!$L$192:$N$192</c:f>
              <c:numCache>
                <c:formatCode>0</c:formatCode>
                <c:ptCount val="3"/>
                <c:pt idx="0">
                  <c:v>0</c:v>
                </c:pt>
                <c:pt idx="1">
                  <c:v>0</c:v>
                </c:pt>
                <c:pt idx="2">
                  <c:v>0</c:v>
                </c:pt>
              </c:numCache>
            </c:numRef>
          </c:val>
          <c:extLst>
            <c:ext xmlns:c16="http://schemas.microsoft.com/office/drawing/2014/chart" uri="{C3380CC4-5D6E-409C-BE32-E72D297353CC}">
              <c16:uniqueId val="{00000000-0ACB-4EC1-9B6A-A258F09625A2}"/>
            </c:ext>
          </c:extLst>
        </c:ser>
        <c:dLbls>
          <c:showLegendKey val="0"/>
          <c:showVal val="0"/>
          <c:showCatName val="0"/>
          <c:showSerName val="0"/>
          <c:showPercent val="0"/>
          <c:showBubbleSize val="0"/>
        </c:dLbls>
        <c:gapWidth val="100"/>
        <c:axId val="542265592"/>
        <c:axId val="542262640"/>
      </c:barChart>
      <c:lineChart>
        <c:grouping val="standard"/>
        <c:varyColors val="0"/>
        <c:ser>
          <c:idx val="8"/>
          <c:order val="1"/>
          <c:tx>
            <c:strRef>
              <c:f>SAISIE!$K$193</c:f>
              <c:strCache>
                <c:ptCount val="1"/>
                <c:pt idx="0">
                  <c:v>Rdt min</c:v>
                </c:pt>
              </c:strCache>
            </c:strRef>
          </c:tx>
          <c:spPr>
            <a:ln w="28575" cap="rnd">
              <a:noFill/>
              <a:round/>
            </a:ln>
            <a:effectLst/>
          </c:spPr>
          <c:marker>
            <c:symbol val="square"/>
            <c:size val="10"/>
            <c:spPr>
              <a:solidFill>
                <a:srgbClr val="FF0000"/>
              </a:solidFill>
              <a:ln w="9525">
                <a:solidFill>
                  <a:srgbClr val="FF0000"/>
                </a:solidFill>
              </a:ln>
              <a:effectLst/>
            </c:spPr>
          </c:marker>
          <c:dLbls>
            <c:spPr>
              <a:solidFill>
                <a:schemeClr val="bg1"/>
              </a:solidFill>
              <a:ln w="25400">
                <a:solidFill>
                  <a:srgbClr val="FF0000"/>
                </a:solid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SAISIE!$L$191:$N$191</c:f>
              <c:numCache>
                <c:formatCode>General</c:formatCode>
                <c:ptCount val="3"/>
                <c:pt idx="0">
                  <c:v>0</c:v>
                </c:pt>
                <c:pt idx="1">
                  <c:v>0</c:v>
                </c:pt>
                <c:pt idx="2">
                  <c:v>0</c:v>
                </c:pt>
              </c:numCache>
            </c:numRef>
          </c:cat>
          <c:val>
            <c:numRef>
              <c:f>SAISIE!$L$193:$N$193</c:f>
              <c:numCache>
                <c:formatCode>0</c:formatCode>
                <c:ptCount val="3"/>
                <c:pt idx="0">
                  <c:v>0</c:v>
                </c:pt>
                <c:pt idx="1">
                  <c:v>0</c:v>
                </c:pt>
                <c:pt idx="2">
                  <c:v>0</c:v>
                </c:pt>
              </c:numCache>
            </c:numRef>
          </c:val>
          <c:smooth val="0"/>
          <c:extLst>
            <c:ext xmlns:c16="http://schemas.microsoft.com/office/drawing/2014/chart" uri="{C3380CC4-5D6E-409C-BE32-E72D297353CC}">
              <c16:uniqueId val="{00000001-0ACB-4EC1-9B6A-A258F09625A2}"/>
            </c:ext>
          </c:extLst>
        </c:ser>
        <c:ser>
          <c:idx val="10"/>
          <c:order val="2"/>
          <c:tx>
            <c:strRef>
              <c:f>SAISIE!$K$194</c:f>
              <c:strCache>
                <c:ptCount val="1"/>
                <c:pt idx="0">
                  <c:v>Rdt max</c:v>
                </c:pt>
              </c:strCache>
            </c:strRef>
          </c:tx>
          <c:spPr>
            <a:ln w="28575" cap="rnd">
              <a:noFill/>
              <a:round/>
            </a:ln>
            <a:effectLst/>
          </c:spPr>
          <c:marker>
            <c:symbol val="circle"/>
            <c:size val="10"/>
            <c:spPr>
              <a:solidFill>
                <a:srgbClr val="92D050"/>
              </a:solidFill>
              <a:ln w="9525">
                <a:solidFill>
                  <a:srgbClr val="92D050"/>
                </a:solidFill>
              </a:ln>
              <a:effectLst/>
            </c:spPr>
          </c:marker>
          <c:dLbls>
            <c:spPr>
              <a:solidFill>
                <a:schemeClr val="bg1"/>
              </a:solidFill>
              <a:ln w="25400">
                <a:solidFill>
                  <a:srgbClr val="92D050"/>
                </a:solid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SAISIE!$L$191:$N$191</c:f>
              <c:numCache>
                <c:formatCode>General</c:formatCode>
                <c:ptCount val="3"/>
                <c:pt idx="0">
                  <c:v>0</c:v>
                </c:pt>
                <c:pt idx="1">
                  <c:v>0</c:v>
                </c:pt>
                <c:pt idx="2">
                  <c:v>0</c:v>
                </c:pt>
              </c:numCache>
            </c:numRef>
          </c:cat>
          <c:val>
            <c:numRef>
              <c:f>SAISIE!$L$194:$N$194</c:f>
              <c:numCache>
                <c:formatCode>0</c:formatCode>
                <c:ptCount val="3"/>
                <c:pt idx="0">
                  <c:v>0</c:v>
                </c:pt>
                <c:pt idx="1">
                  <c:v>0</c:v>
                </c:pt>
                <c:pt idx="2">
                  <c:v>0</c:v>
                </c:pt>
              </c:numCache>
            </c:numRef>
          </c:val>
          <c:smooth val="0"/>
          <c:extLst>
            <c:ext xmlns:c16="http://schemas.microsoft.com/office/drawing/2014/chart" uri="{C3380CC4-5D6E-409C-BE32-E72D297353CC}">
              <c16:uniqueId val="{00000002-0ACB-4EC1-9B6A-A258F09625A2}"/>
            </c:ext>
          </c:extLst>
        </c:ser>
        <c:dLbls>
          <c:showLegendKey val="0"/>
          <c:showVal val="0"/>
          <c:showCatName val="0"/>
          <c:showSerName val="0"/>
          <c:showPercent val="0"/>
          <c:showBubbleSize val="0"/>
        </c:dLbls>
        <c:marker val="1"/>
        <c:smooth val="0"/>
        <c:axId val="542265592"/>
        <c:axId val="542262640"/>
      </c:lineChart>
      <c:catAx>
        <c:axId val="542265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fr-FR"/>
          </a:p>
        </c:txPr>
        <c:crossAx val="542262640"/>
        <c:crosses val="autoZero"/>
        <c:auto val="1"/>
        <c:lblAlgn val="ctr"/>
        <c:lblOffset val="100"/>
        <c:noMultiLvlLbl val="0"/>
      </c:catAx>
      <c:valAx>
        <c:axId val="542262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fr-FR"/>
          </a:p>
        </c:txPr>
        <c:crossAx val="542265592"/>
        <c:crosses val="autoZero"/>
        <c:crossBetween val="between"/>
      </c:valAx>
      <c:spPr>
        <a:noFill/>
        <a:ln>
          <a:noFill/>
        </a:ln>
        <a:effectLst/>
      </c:spPr>
    </c:plotArea>
    <c:legend>
      <c:legendPos val="r"/>
      <c:layout>
        <c:manualLayout>
          <c:xMode val="edge"/>
          <c:yMode val="edge"/>
          <c:x val="0.13565113672614315"/>
          <c:y val="0.91894282016689977"/>
          <c:w val="0.76890880868174638"/>
          <c:h val="5.3491297680122923E-2"/>
        </c:manualLayout>
      </c:layout>
      <c:overlay val="1"/>
      <c:spPr>
        <a:solidFill>
          <a:schemeClr val="bg1"/>
        </a:solidFill>
        <a:ln>
          <a:solidFill>
            <a:schemeClr val="tx1"/>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legend>
    <c:plotVisOnly val="0"/>
    <c:dispBlanksAs val="gap"/>
    <c:showDLblsOverMax val="0"/>
    <c:extLst/>
  </c:chart>
  <c:spPr>
    <a:noFill/>
    <a:ln w="9525" cap="flat" cmpd="sng" algn="ctr">
      <a:solidFill>
        <a:sysClr val="window" lastClr="FFFFFF">
          <a:lumMod val="65000"/>
        </a:sysClr>
      </a:solidFill>
      <a:round/>
    </a:ln>
    <a:effectLst/>
  </c:spPr>
  <c:txPr>
    <a:bodyPr/>
    <a:lstStyle/>
    <a:p>
      <a:pPr>
        <a:defRPr/>
      </a:pPr>
      <a:endParaRPr lang="fr-FR"/>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64787114171256"/>
          <c:y val="0.19712541802653882"/>
          <c:w val="0.84644424326486767"/>
          <c:h val="0.68454684819691669"/>
        </c:manualLayout>
      </c:layout>
      <c:lineChart>
        <c:grouping val="standard"/>
        <c:varyColors val="0"/>
        <c:ser>
          <c:idx val="0"/>
          <c:order val="0"/>
          <c:tx>
            <c:strRef>
              <c:f>SAISIE!$C$169</c:f>
              <c:strCache>
                <c:ptCount val="1"/>
                <c:pt idx="0">
                  <c:v>Semences</c:v>
                </c:pt>
              </c:strCache>
            </c:strRef>
          </c:tx>
          <c:spPr>
            <a:ln w="28575" cap="rnd">
              <a:solidFill>
                <a:srgbClr val="C0504D">
                  <a:lumMod val="60000"/>
                  <a:lumOff val="40000"/>
                </a:srgbClr>
              </a:solidFill>
              <a:round/>
            </a:ln>
            <a:effectLst/>
          </c:spPr>
          <c:marker>
            <c:symbol val="circle"/>
            <c:size val="5"/>
            <c:spPr>
              <a:solidFill>
                <a:srgbClr val="C0504D">
                  <a:lumMod val="60000"/>
                  <a:lumOff val="40000"/>
                </a:srgbClr>
              </a:solidFill>
              <a:ln w="9525">
                <a:solidFill>
                  <a:srgbClr val="C0504D">
                    <a:lumMod val="60000"/>
                    <a:lumOff val="40000"/>
                  </a:srgbClr>
                </a:solidFill>
              </a:ln>
              <a:effectLst/>
            </c:spPr>
          </c:marker>
          <c:cat>
            <c:multiLvlStrRef>
              <c:f>SAISIE!$E$168:$G$168</c:f>
            </c:multiLvlStrRef>
          </c:cat>
          <c:val>
            <c:numRef>
              <c:f>SAISIE!$E$169:$G$169</c:f>
              <c:numCache>
                <c:formatCode>0</c:formatCode>
                <c:ptCount val="3"/>
                <c:pt idx="0">
                  <c:v>0</c:v>
                </c:pt>
                <c:pt idx="1">
                  <c:v>#N/A</c:v>
                </c:pt>
                <c:pt idx="2">
                  <c:v>#N/A</c:v>
                </c:pt>
              </c:numCache>
            </c:numRef>
          </c:val>
          <c:smooth val="0"/>
          <c:extLst>
            <c:ext xmlns:c16="http://schemas.microsoft.com/office/drawing/2014/chart" uri="{C3380CC4-5D6E-409C-BE32-E72D297353CC}">
              <c16:uniqueId val="{00000000-CBB7-4249-904A-D81ADBA50400}"/>
            </c:ext>
          </c:extLst>
        </c:ser>
        <c:ser>
          <c:idx val="1"/>
          <c:order val="1"/>
          <c:tx>
            <c:strRef>
              <c:f>SAISIE!$C$170</c:f>
              <c:strCache>
                <c:ptCount val="1"/>
                <c:pt idx="0">
                  <c:v>Engrais total</c:v>
                </c:pt>
              </c:strCache>
            </c:strRef>
          </c:tx>
          <c:spPr>
            <a:ln w="28575" cap="rnd">
              <a:solidFill>
                <a:srgbClr val="9BBB59">
                  <a:lumMod val="50000"/>
                </a:srgbClr>
              </a:solidFill>
              <a:round/>
            </a:ln>
            <a:effectLst/>
          </c:spPr>
          <c:marker>
            <c:symbol val="square"/>
            <c:size val="6"/>
            <c:spPr>
              <a:solidFill>
                <a:srgbClr val="9BBB59">
                  <a:lumMod val="50000"/>
                </a:srgbClr>
              </a:solidFill>
              <a:ln w="9525">
                <a:solidFill>
                  <a:srgbClr val="9BBB59">
                    <a:lumMod val="50000"/>
                  </a:srgbClr>
                </a:solidFill>
              </a:ln>
              <a:effectLst/>
            </c:spPr>
          </c:marker>
          <c:dPt>
            <c:idx val="2"/>
            <c:marker>
              <c:symbol val="square"/>
              <c:size val="6"/>
              <c:spPr>
                <a:solidFill>
                  <a:srgbClr val="9BBB59">
                    <a:lumMod val="50000"/>
                  </a:srgbClr>
                </a:solidFill>
                <a:ln w="9525">
                  <a:solidFill>
                    <a:srgbClr val="9BBB59">
                      <a:lumMod val="50000"/>
                    </a:srgbClr>
                  </a:solidFill>
                </a:ln>
                <a:effectLst/>
              </c:spPr>
            </c:marker>
            <c:bubble3D val="0"/>
            <c:extLst>
              <c:ext xmlns:c16="http://schemas.microsoft.com/office/drawing/2014/chart" uri="{C3380CC4-5D6E-409C-BE32-E72D297353CC}">
                <c16:uniqueId val="{00000001-CBB7-4249-904A-D81ADBA50400}"/>
              </c:ext>
            </c:extLst>
          </c:dPt>
          <c:dLbls>
            <c:dLbl>
              <c:idx val="0"/>
              <c:delete val="1"/>
              <c:extLst>
                <c:ext xmlns:c15="http://schemas.microsoft.com/office/drawing/2012/chart" uri="{CE6537A1-D6FC-4f65-9D91-7224C49458BB}"/>
                <c:ext xmlns:c16="http://schemas.microsoft.com/office/drawing/2014/chart" uri="{C3380CC4-5D6E-409C-BE32-E72D297353CC}">
                  <c16:uniqueId val="{00000002-EE32-4A77-9C57-969B364F4C14}"/>
                </c:ext>
              </c:extLst>
            </c:dLbl>
            <c:dLbl>
              <c:idx val="1"/>
              <c:delete val="1"/>
              <c:extLst>
                <c:ext xmlns:c15="http://schemas.microsoft.com/office/drawing/2012/chart" uri="{CE6537A1-D6FC-4f65-9D91-7224C49458BB}"/>
                <c:ext xmlns:c16="http://schemas.microsoft.com/office/drawing/2014/chart" uri="{C3380CC4-5D6E-409C-BE32-E72D297353CC}">
                  <c16:uniqueId val="{00000003-EE32-4A77-9C57-969B364F4C1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3">
                        <a:lumMod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SAISIE!$E$168:$G$168</c:f>
            </c:multiLvlStrRef>
          </c:cat>
          <c:val>
            <c:numRef>
              <c:f>SAISIE!$E$170:$G$170</c:f>
              <c:numCache>
                <c:formatCode>0</c:formatCode>
                <c:ptCount val="3"/>
                <c:pt idx="0">
                  <c:v>0</c:v>
                </c:pt>
                <c:pt idx="1">
                  <c:v>#N/A</c:v>
                </c:pt>
                <c:pt idx="2">
                  <c:v>#N/A</c:v>
                </c:pt>
              </c:numCache>
            </c:numRef>
          </c:val>
          <c:smooth val="0"/>
          <c:extLst>
            <c:ext xmlns:c16="http://schemas.microsoft.com/office/drawing/2014/chart" uri="{C3380CC4-5D6E-409C-BE32-E72D297353CC}">
              <c16:uniqueId val="{00000002-CBB7-4249-904A-D81ADBA50400}"/>
            </c:ext>
          </c:extLst>
        </c:ser>
        <c:ser>
          <c:idx val="2"/>
          <c:order val="2"/>
          <c:tx>
            <c:strRef>
              <c:f>SAISIE!$C$171</c:f>
              <c:strCache>
                <c:ptCount val="1"/>
                <c:pt idx="0">
                  <c:v>dont Azote simple</c:v>
                </c:pt>
              </c:strCache>
            </c:strRef>
          </c:tx>
          <c:spPr>
            <a:ln w="28575" cap="rnd">
              <a:solidFill>
                <a:srgbClr val="9BBB59"/>
              </a:solidFill>
              <a:prstDash val="dash"/>
              <a:round/>
            </a:ln>
            <a:effectLst/>
          </c:spPr>
          <c:marker>
            <c:symbol val="diamond"/>
            <c:size val="7"/>
            <c:spPr>
              <a:solidFill>
                <a:srgbClr val="9BBB59"/>
              </a:solidFill>
              <a:ln w="9525">
                <a:solidFill>
                  <a:srgbClr val="9BBB59"/>
                </a:solidFill>
              </a:ln>
              <a:effectLst/>
            </c:spPr>
          </c:marker>
          <c:cat>
            <c:multiLvlStrRef>
              <c:f>SAISIE!$E$168:$G$168</c:f>
            </c:multiLvlStrRef>
          </c:cat>
          <c:val>
            <c:numRef>
              <c:f>SAISIE!$E$171:$G$171</c:f>
              <c:numCache>
                <c:formatCode>0</c:formatCode>
                <c:ptCount val="3"/>
                <c:pt idx="0">
                  <c:v>0</c:v>
                </c:pt>
                <c:pt idx="1">
                  <c:v>#N/A</c:v>
                </c:pt>
                <c:pt idx="2">
                  <c:v>#N/A</c:v>
                </c:pt>
              </c:numCache>
            </c:numRef>
          </c:val>
          <c:smooth val="0"/>
          <c:extLst>
            <c:ext xmlns:c16="http://schemas.microsoft.com/office/drawing/2014/chart" uri="{C3380CC4-5D6E-409C-BE32-E72D297353CC}">
              <c16:uniqueId val="{00000003-CBB7-4249-904A-D81ADBA50400}"/>
            </c:ext>
          </c:extLst>
        </c:ser>
        <c:ser>
          <c:idx val="3"/>
          <c:order val="3"/>
          <c:tx>
            <c:strRef>
              <c:f>SAISIE!$C$172</c:f>
              <c:strCache>
                <c:ptCount val="1"/>
                <c:pt idx="0">
                  <c:v>Produits phytosanitaires</c:v>
                </c:pt>
              </c:strCache>
            </c:strRef>
          </c:tx>
          <c:spPr>
            <a:ln w="28575" cap="rnd">
              <a:solidFill>
                <a:srgbClr val="00B0F0"/>
              </a:solidFill>
              <a:round/>
            </a:ln>
            <a:effectLst/>
          </c:spPr>
          <c:marker>
            <c:symbol val="circle"/>
            <c:size val="5"/>
            <c:spPr>
              <a:solidFill>
                <a:srgbClr val="00B0F0"/>
              </a:solidFill>
              <a:ln w="9525">
                <a:solidFill>
                  <a:srgbClr val="00B0F0"/>
                </a:solidFill>
              </a:ln>
              <a:effectLst/>
            </c:spPr>
          </c:marker>
          <c:cat>
            <c:multiLvlStrRef>
              <c:f>SAISIE!$E$168:$G$168</c:f>
            </c:multiLvlStrRef>
          </c:cat>
          <c:val>
            <c:numRef>
              <c:f>SAISIE!$E$172:$G$172</c:f>
              <c:numCache>
                <c:formatCode>0</c:formatCode>
                <c:ptCount val="3"/>
                <c:pt idx="0">
                  <c:v>0</c:v>
                </c:pt>
                <c:pt idx="1">
                  <c:v>#N/A</c:v>
                </c:pt>
                <c:pt idx="2">
                  <c:v>#N/A</c:v>
                </c:pt>
              </c:numCache>
            </c:numRef>
          </c:val>
          <c:smooth val="0"/>
          <c:extLst>
            <c:ext xmlns:c16="http://schemas.microsoft.com/office/drawing/2014/chart" uri="{C3380CC4-5D6E-409C-BE32-E72D297353CC}">
              <c16:uniqueId val="{00000004-CBB7-4249-904A-D81ADBA50400}"/>
            </c:ext>
          </c:extLst>
        </c:ser>
        <c:ser>
          <c:idx val="4"/>
          <c:order val="4"/>
          <c:tx>
            <c:strRef>
              <c:f>SAISIE!$C$173</c:f>
              <c:strCache>
                <c:ptCount val="1"/>
                <c:pt idx="0">
                  <c:v>Irrigation (redevance+énergie)</c:v>
                </c:pt>
              </c:strCache>
            </c:strRef>
          </c:tx>
          <c:spPr>
            <a:ln w="28575" cap="rnd">
              <a:solidFill>
                <a:srgbClr val="0070C0"/>
              </a:solidFill>
              <a:prstDash val="solid"/>
              <a:round/>
            </a:ln>
            <a:effectLst/>
          </c:spPr>
          <c:marker>
            <c:symbol val="circle"/>
            <c:size val="5"/>
            <c:spPr>
              <a:solidFill>
                <a:srgbClr val="0070C0"/>
              </a:solidFill>
              <a:ln w="9525">
                <a:solidFill>
                  <a:srgbClr val="0070C0"/>
                </a:solidFill>
              </a:ln>
              <a:effectLst/>
            </c:spPr>
          </c:marker>
          <c:cat>
            <c:multiLvlStrRef>
              <c:f>SAISIE!$E$168:$G$168</c:f>
            </c:multiLvlStrRef>
          </c:cat>
          <c:val>
            <c:numRef>
              <c:f>SAISIE!$E$173:$G$173</c:f>
              <c:numCache>
                <c:formatCode>0</c:formatCode>
                <c:ptCount val="3"/>
                <c:pt idx="0">
                  <c:v>0</c:v>
                </c:pt>
                <c:pt idx="1">
                  <c:v>#N/A</c:v>
                </c:pt>
                <c:pt idx="2">
                  <c:v>#N/A</c:v>
                </c:pt>
              </c:numCache>
            </c:numRef>
          </c:val>
          <c:smooth val="0"/>
          <c:extLst>
            <c:ext xmlns:c16="http://schemas.microsoft.com/office/drawing/2014/chart" uri="{C3380CC4-5D6E-409C-BE32-E72D297353CC}">
              <c16:uniqueId val="{00000005-CBB7-4249-904A-D81ADBA50400}"/>
            </c:ext>
          </c:extLst>
        </c:ser>
        <c:ser>
          <c:idx val="5"/>
          <c:order val="5"/>
          <c:tx>
            <c:strRef>
              <c:f>SAISIE!$C$174</c:f>
              <c:strCache>
                <c:ptCount val="1"/>
                <c:pt idx="0">
                  <c:v>Autres intrants</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multiLvlStrRef>
              <c:f>SAISIE!$E$168:$G$168</c:f>
            </c:multiLvlStrRef>
          </c:cat>
          <c:val>
            <c:numRef>
              <c:f>SAISIE!$E$174:$G$174</c:f>
              <c:numCache>
                <c:formatCode>0</c:formatCode>
                <c:ptCount val="3"/>
                <c:pt idx="0">
                  <c:v>0</c:v>
                </c:pt>
                <c:pt idx="1">
                  <c:v>#N/A</c:v>
                </c:pt>
                <c:pt idx="2">
                  <c:v>#N/A</c:v>
                </c:pt>
              </c:numCache>
            </c:numRef>
          </c:val>
          <c:smooth val="0"/>
          <c:extLst>
            <c:ext xmlns:c16="http://schemas.microsoft.com/office/drawing/2014/chart" uri="{C3380CC4-5D6E-409C-BE32-E72D297353CC}">
              <c16:uniqueId val="{00000006-CBB7-4249-904A-D81ADBA50400}"/>
            </c:ext>
          </c:extLst>
        </c:ser>
        <c:ser>
          <c:idx val="6"/>
          <c:order val="6"/>
          <c:tx>
            <c:strRef>
              <c:f>SAISIE!$C$175</c:f>
              <c:strCache>
                <c:ptCount val="1"/>
                <c:pt idx="0">
                  <c:v>Séchage</c:v>
                </c:pt>
              </c:strCache>
            </c:strRef>
          </c:tx>
          <c:spPr>
            <a:ln w="28575" cap="rnd">
              <a:solidFill>
                <a:srgbClr val="CC9900"/>
              </a:solidFill>
              <a:round/>
            </a:ln>
            <a:effectLst/>
          </c:spPr>
          <c:marker>
            <c:symbol val="circle"/>
            <c:size val="5"/>
            <c:spPr>
              <a:solidFill>
                <a:srgbClr val="CC9900"/>
              </a:solidFill>
              <a:ln w="9525">
                <a:solidFill>
                  <a:srgbClr val="CC9900"/>
                </a:solidFill>
              </a:ln>
              <a:effectLst/>
            </c:spPr>
          </c:marker>
          <c:cat>
            <c:multiLvlStrRef>
              <c:f>SAISIE!$E$168:$G$168</c:f>
            </c:multiLvlStrRef>
          </c:cat>
          <c:val>
            <c:numRef>
              <c:f>SAISIE!$E$175:$G$175</c:f>
              <c:numCache>
                <c:formatCode>0</c:formatCode>
                <c:ptCount val="3"/>
                <c:pt idx="0">
                  <c:v>0</c:v>
                </c:pt>
                <c:pt idx="1">
                  <c:v>#N/A</c:v>
                </c:pt>
                <c:pt idx="2">
                  <c:v>#N/A</c:v>
                </c:pt>
              </c:numCache>
            </c:numRef>
          </c:val>
          <c:smooth val="0"/>
          <c:extLst>
            <c:ext xmlns:c16="http://schemas.microsoft.com/office/drawing/2014/chart" uri="{C3380CC4-5D6E-409C-BE32-E72D297353CC}">
              <c16:uniqueId val="{00000007-CBB7-4249-904A-D81ADBA50400}"/>
            </c:ext>
          </c:extLst>
        </c:ser>
        <c:ser>
          <c:idx val="7"/>
          <c:order val="7"/>
          <c:tx>
            <c:strRef>
              <c:f>SAISIE!$C$176</c:f>
              <c:strCache>
                <c:ptCount val="1"/>
                <c:pt idx="0">
                  <c:v>Stockage (énergie)</c:v>
                </c:pt>
              </c:strCache>
            </c:strRef>
          </c:tx>
          <c:spPr>
            <a:ln w="28575" cap="rnd">
              <a:solidFill>
                <a:srgbClr val="CC00CC"/>
              </a:solidFill>
              <a:round/>
            </a:ln>
            <a:effectLst/>
          </c:spPr>
          <c:marker>
            <c:symbol val="circle"/>
            <c:size val="5"/>
            <c:spPr>
              <a:solidFill>
                <a:srgbClr val="CC00CC"/>
              </a:solidFill>
              <a:ln w="9525">
                <a:solidFill>
                  <a:srgbClr val="CC00CC"/>
                </a:solidFill>
              </a:ln>
              <a:effectLst/>
            </c:spPr>
          </c:marker>
          <c:cat>
            <c:multiLvlStrRef>
              <c:f>SAISIE!$E$168:$G$168</c:f>
            </c:multiLvlStrRef>
          </c:cat>
          <c:val>
            <c:numRef>
              <c:f>SAISIE!$E$176:$G$176</c:f>
              <c:numCache>
                <c:formatCode>0</c:formatCode>
                <c:ptCount val="3"/>
                <c:pt idx="0">
                  <c:v>0</c:v>
                </c:pt>
                <c:pt idx="1">
                  <c:v>#N/A</c:v>
                </c:pt>
                <c:pt idx="2">
                  <c:v>#N/A</c:v>
                </c:pt>
              </c:numCache>
            </c:numRef>
          </c:val>
          <c:smooth val="0"/>
          <c:extLst>
            <c:ext xmlns:c16="http://schemas.microsoft.com/office/drawing/2014/chart" uri="{C3380CC4-5D6E-409C-BE32-E72D297353CC}">
              <c16:uniqueId val="{00000008-CBB7-4249-904A-D81ADBA50400}"/>
            </c:ext>
          </c:extLst>
        </c:ser>
        <c:ser>
          <c:idx val="8"/>
          <c:order val="8"/>
          <c:tx>
            <c:strRef>
              <c:f>SAISIE!$C$177</c:f>
              <c:strCache>
                <c:ptCount val="1"/>
                <c:pt idx="0">
                  <c:v>Carburant</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5-EE32-4A77-9C57-969B364F4C14}"/>
                </c:ext>
              </c:extLst>
            </c:dLbl>
            <c:dLbl>
              <c:idx val="1"/>
              <c:delete val="1"/>
              <c:extLst>
                <c:ext xmlns:c15="http://schemas.microsoft.com/office/drawing/2012/chart" uri="{CE6537A1-D6FC-4f65-9D91-7224C49458BB}"/>
                <c:ext xmlns:c16="http://schemas.microsoft.com/office/drawing/2014/chart" uri="{C3380CC4-5D6E-409C-BE32-E72D297353CC}">
                  <c16:uniqueId val="{00000004-EE32-4A77-9C57-969B364F4C14}"/>
                </c:ext>
              </c:extLst>
            </c:dLbl>
            <c:dLbl>
              <c:idx val="2"/>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7030A0"/>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6-EE32-4A77-9C57-969B364F4C1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SAISIE!$E$168:$G$168</c:f>
            </c:multiLvlStrRef>
          </c:cat>
          <c:val>
            <c:numRef>
              <c:f>SAISIE!$E$177:$G$177</c:f>
              <c:numCache>
                <c:formatCode>0</c:formatCode>
                <c:ptCount val="3"/>
                <c:pt idx="0">
                  <c:v>0</c:v>
                </c:pt>
                <c:pt idx="1">
                  <c:v>#N/A</c:v>
                </c:pt>
                <c:pt idx="2">
                  <c:v>#N/A</c:v>
                </c:pt>
              </c:numCache>
            </c:numRef>
          </c:val>
          <c:smooth val="0"/>
          <c:extLst>
            <c:ext xmlns:c16="http://schemas.microsoft.com/office/drawing/2014/chart" uri="{C3380CC4-5D6E-409C-BE32-E72D297353CC}">
              <c16:uniqueId val="{00000009-CBB7-4249-904A-D81ADBA50400}"/>
            </c:ext>
          </c:extLst>
        </c:ser>
        <c:ser>
          <c:idx val="9"/>
          <c:order val="9"/>
          <c:tx>
            <c:strRef>
              <c:f>SAISIE!$C$178</c:f>
              <c:strCache>
                <c:ptCount val="1"/>
                <c:pt idx="0">
                  <c:v>Entretien-réparation</c:v>
                </c:pt>
              </c:strCache>
            </c:strRef>
          </c:tx>
          <c:spPr>
            <a:ln w="28575" cap="rnd">
              <a:solidFill>
                <a:srgbClr val="CC00CC"/>
              </a:solidFill>
              <a:round/>
            </a:ln>
            <a:effectLst/>
          </c:spPr>
          <c:marker>
            <c:symbol val="circle"/>
            <c:size val="5"/>
            <c:spPr>
              <a:solidFill>
                <a:srgbClr val="CC00CC"/>
              </a:solidFill>
              <a:ln w="9525">
                <a:solidFill>
                  <a:srgbClr val="CC00CC"/>
                </a:solidFill>
              </a:ln>
              <a:effectLst/>
            </c:spPr>
          </c:marker>
          <c:cat>
            <c:multiLvlStrRef>
              <c:f>SAISIE!$E$168:$G$168</c:f>
            </c:multiLvlStrRef>
          </c:cat>
          <c:val>
            <c:numRef>
              <c:f>SAISIE!$E$178:$G$178</c:f>
              <c:numCache>
                <c:formatCode>0</c:formatCode>
                <c:ptCount val="3"/>
                <c:pt idx="0">
                  <c:v>0</c:v>
                </c:pt>
                <c:pt idx="1">
                  <c:v>#N/A</c:v>
                </c:pt>
                <c:pt idx="2">
                  <c:v>#N/A</c:v>
                </c:pt>
              </c:numCache>
            </c:numRef>
          </c:val>
          <c:smooth val="0"/>
          <c:extLst>
            <c:ext xmlns:c16="http://schemas.microsoft.com/office/drawing/2014/chart" uri="{C3380CC4-5D6E-409C-BE32-E72D297353CC}">
              <c16:uniqueId val="{0000000A-CBB7-4249-904A-D81ADBA50400}"/>
            </c:ext>
          </c:extLst>
        </c:ser>
        <c:ser>
          <c:idx val="10"/>
          <c:order val="10"/>
          <c:tx>
            <c:strRef>
              <c:f>SAISIE!$C$179</c:f>
              <c:strCache>
                <c:ptCount val="1"/>
                <c:pt idx="0">
                  <c:v>Travaux par tiers</c:v>
                </c:pt>
              </c:strCache>
            </c:strRef>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multiLvlStrRef>
              <c:f>SAISIE!$E$168:$G$168</c:f>
            </c:multiLvlStrRef>
          </c:cat>
          <c:val>
            <c:numRef>
              <c:f>SAISIE!$E$179:$G$179</c:f>
              <c:numCache>
                <c:formatCode>0</c:formatCode>
                <c:ptCount val="3"/>
                <c:pt idx="0">
                  <c:v>0</c:v>
                </c:pt>
                <c:pt idx="1">
                  <c:v>#N/A</c:v>
                </c:pt>
                <c:pt idx="2">
                  <c:v>#N/A</c:v>
                </c:pt>
              </c:numCache>
            </c:numRef>
          </c:val>
          <c:smooth val="0"/>
          <c:extLst>
            <c:ext xmlns:c16="http://schemas.microsoft.com/office/drawing/2014/chart" uri="{C3380CC4-5D6E-409C-BE32-E72D297353CC}">
              <c16:uniqueId val="{0000000B-CBB7-4249-904A-D81ADBA50400}"/>
            </c:ext>
          </c:extLst>
        </c:ser>
        <c:ser>
          <c:idx val="11"/>
          <c:order val="11"/>
          <c:tx>
            <c:strRef>
              <c:f>SAISIE!$C$180</c:f>
              <c:strCache>
                <c:ptCount val="1"/>
                <c:pt idx="0">
                  <c:v>Autres charges (1)</c:v>
                </c:pt>
              </c:strCache>
            </c:strRef>
          </c:tx>
          <c:spPr>
            <a:ln w="28575" cap="rnd">
              <a:solidFill>
                <a:sysClr val="window" lastClr="FFFFFF">
                  <a:lumMod val="65000"/>
                </a:sysClr>
              </a:solidFill>
              <a:round/>
            </a:ln>
            <a:effectLst/>
          </c:spPr>
          <c:marker>
            <c:symbol val="circle"/>
            <c:size val="5"/>
            <c:spPr>
              <a:solidFill>
                <a:sysClr val="window" lastClr="FFFFFF">
                  <a:lumMod val="65000"/>
                </a:sysClr>
              </a:solidFill>
              <a:ln w="9525">
                <a:solidFill>
                  <a:sysClr val="window" lastClr="FFFFFF">
                    <a:lumMod val="65000"/>
                  </a:sysClr>
                </a:solidFill>
              </a:ln>
              <a:effectLst/>
            </c:spPr>
          </c:marker>
          <c:cat>
            <c:multiLvlStrRef>
              <c:f>SAISIE!$E$168:$G$168</c:f>
            </c:multiLvlStrRef>
          </c:cat>
          <c:val>
            <c:numRef>
              <c:f>SAISIE!$E$180:$G$180</c:f>
              <c:numCache>
                <c:formatCode>0</c:formatCode>
                <c:ptCount val="3"/>
                <c:pt idx="0">
                  <c:v>0</c:v>
                </c:pt>
                <c:pt idx="1">
                  <c:v>#N/A</c:v>
                </c:pt>
                <c:pt idx="2">
                  <c:v>#N/A</c:v>
                </c:pt>
              </c:numCache>
            </c:numRef>
          </c:val>
          <c:smooth val="0"/>
          <c:extLst>
            <c:ext xmlns:c16="http://schemas.microsoft.com/office/drawing/2014/chart" uri="{C3380CC4-5D6E-409C-BE32-E72D297353CC}">
              <c16:uniqueId val="{0000000C-CBB7-4249-904A-D81ADBA50400}"/>
            </c:ext>
          </c:extLst>
        </c:ser>
        <c:ser>
          <c:idx val="12"/>
          <c:order val="12"/>
          <c:tx>
            <c:strRef>
              <c:f>SAISIE!$C$181</c:f>
              <c:strCache>
                <c:ptCount val="1"/>
                <c:pt idx="0">
                  <c:v>Rémunération de la MO familiale</c:v>
                </c:pt>
              </c:strCache>
            </c:strRef>
          </c:tx>
          <c:spPr>
            <a:ln w="28575" cap="rnd">
              <a:solidFill>
                <a:srgbClr val="4BACC6">
                  <a:lumMod val="75000"/>
                </a:srgbClr>
              </a:solidFill>
              <a:round/>
            </a:ln>
            <a:effectLst/>
          </c:spPr>
          <c:marker>
            <c:symbol val="circle"/>
            <c:size val="5"/>
            <c:spPr>
              <a:solidFill>
                <a:srgbClr val="4BACC6">
                  <a:lumMod val="75000"/>
                </a:srgbClr>
              </a:solidFill>
              <a:ln w="9525">
                <a:solidFill>
                  <a:srgbClr val="4BACC6">
                    <a:lumMod val="75000"/>
                  </a:srgbClr>
                </a:solidFill>
              </a:ln>
              <a:effectLst/>
            </c:spPr>
          </c:marker>
          <c:cat>
            <c:multiLvlStrRef>
              <c:f>SAISIE!$E$168:$G$168</c:f>
            </c:multiLvlStrRef>
          </c:cat>
          <c:val>
            <c:numRef>
              <c:f>SAISIE!$E$181:$G$181</c:f>
              <c:numCache>
                <c:formatCode>0</c:formatCode>
                <c:ptCount val="3"/>
                <c:pt idx="0">
                  <c:v>0</c:v>
                </c:pt>
                <c:pt idx="1">
                  <c:v>#N/A</c:v>
                </c:pt>
                <c:pt idx="2">
                  <c:v>#N/A</c:v>
                </c:pt>
              </c:numCache>
            </c:numRef>
          </c:val>
          <c:smooth val="0"/>
          <c:extLst>
            <c:ext xmlns:c16="http://schemas.microsoft.com/office/drawing/2014/chart" uri="{C3380CC4-5D6E-409C-BE32-E72D297353CC}">
              <c16:uniqueId val="{00000002-E781-43A3-B1E6-D8C395BFE218}"/>
            </c:ext>
          </c:extLst>
        </c:ser>
        <c:ser>
          <c:idx val="13"/>
          <c:order val="13"/>
          <c:tx>
            <c:strRef>
              <c:f>SAISIE!$C$182</c:f>
              <c:strCache>
                <c:ptCount val="1"/>
                <c:pt idx="0">
                  <c:v>Total des charges</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5-E781-43A3-B1E6-D8C395BFE218}"/>
                </c:ext>
              </c:extLst>
            </c:dLbl>
            <c:dLbl>
              <c:idx val="2"/>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F-4E77-B818-5E4DDCFAACB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0000"/>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SAISIE!$E$168:$G$168</c:f>
            </c:multiLvlStrRef>
          </c:cat>
          <c:val>
            <c:numRef>
              <c:f>SAISIE!$E$182:$G$182</c:f>
              <c:numCache>
                <c:formatCode>0</c:formatCode>
                <c:ptCount val="3"/>
                <c:pt idx="0">
                  <c:v>#N/A</c:v>
                </c:pt>
                <c:pt idx="1">
                  <c:v>#N/A</c:v>
                </c:pt>
                <c:pt idx="2">
                  <c:v>#N/A</c:v>
                </c:pt>
              </c:numCache>
            </c:numRef>
          </c:val>
          <c:smooth val="0"/>
          <c:extLst>
            <c:ext xmlns:c16="http://schemas.microsoft.com/office/drawing/2014/chart" uri="{C3380CC4-5D6E-409C-BE32-E72D297353CC}">
              <c16:uniqueId val="{00000003-E781-43A3-B1E6-D8C395BFE218}"/>
            </c:ext>
          </c:extLst>
        </c:ser>
        <c:dLbls>
          <c:showLegendKey val="0"/>
          <c:showVal val="0"/>
          <c:showCatName val="0"/>
          <c:showSerName val="0"/>
          <c:showPercent val="0"/>
          <c:showBubbleSize val="0"/>
        </c:dLbls>
        <c:marker val="1"/>
        <c:smooth val="0"/>
        <c:axId val="625307560"/>
        <c:axId val="625301328"/>
      </c:lineChart>
      <c:catAx>
        <c:axId val="625307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625301328"/>
        <c:crosses val="autoZero"/>
        <c:auto val="1"/>
        <c:lblAlgn val="ctr"/>
        <c:lblOffset val="100"/>
        <c:noMultiLvlLbl val="0"/>
      </c:catAx>
      <c:valAx>
        <c:axId val="625301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625307560"/>
        <c:crosses val="autoZero"/>
        <c:crossBetween val="between"/>
      </c:valAx>
      <c:spPr>
        <a:noFill/>
        <a:ln>
          <a:noFill/>
        </a:ln>
        <a:effectLst/>
      </c:spPr>
    </c:plotArea>
    <c:plotVisOnly val="0"/>
    <c:dispBlanksAs val="gap"/>
    <c:showDLblsOverMax val="0"/>
    <c:extLst/>
  </c:chart>
  <c:spPr>
    <a:noFill/>
    <a:ln w="9525" cap="flat" cmpd="sng" algn="ctr">
      <a:solidFill>
        <a:sysClr val="window" lastClr="FFFFFF">
          <a:lumMod val="65000"/>
        </a:sysClr>
      </a:solidFill>
      <a:round/>
    </a:ln>
    <a:effectLst/>
  </c:spPr>
  <c:txPr>
    <a:bodyPr/>
    <a:lstStyle/>
    <a:p>
      <a:pPr>
        <a:defRPr sz="1400" b="1">
          <a:solidFill>
            <a:sysClr val="windowText" lastClr="000000"/>
          </a:solidFill>
        </a:defRPr>
      </a:pPr>
      <a:endParaRPr lang="fr-FR"/>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76006066524007"/>
          <c:y val="0.19600733824730651"/>
          <c:w val="0.86680683384233959"/>
          <c:h val="0.68576895182815256"/>
        </c:manualLayout>
      </c:layout>
      <c:lineChart>
        <c:grouping val="standard"/>
        <c:varyColors val="0"/>
        <c:ser>
          <c:idx val="0"/>
          <c:order val="0"/>
          <c:tx>
            <c:strRef>
              <c:f>SAISIE!$C$169</c:f>
              <c:strCache>
                <c:ptCount val="1"/>
                <c:pt idx="0">
                  <c:v>Semences</c:v>
                </c:pt>
              </c:strCache>
            </c:strRef>
          </c:tx>
          <c:spPr>
            <a:ln w="28575" cap="rnd">
              <a:solidFill>
                <a:srgbClr val="C0504D">
                  <a:lumMod val="60000"/>
                  <a:lumOff val="40000"/>
                </a:srgbClr>
              </a:solidFill>
              <a:round/>
            </a:ln>
            <a:effectLst/>
          </c:spPr>
          <c:marker>
            <c:symbol val="circle"/>
            <c:size val="5"/>
            <c:spPr>
              <a:solidFill>
                <a:srgbClr val="C0504D">
                  <a:lumMod val="60000"/>
                  <a:lumOff val="40000"/>
                </a:srgbClr>
              </a:solidFill>
              <a:ln w="9525">
                <a:solidFill>
                  <a:srgbClr val="C0504D">
                    <a:lumMod val="60000"/>
                    <a:lumOff val="40000"/>
                  </a:srgbClr>
                </a:solidFill>
              </a:ln>
              <a:effectLst/>
            </c:spPr>
          </c:marker>
          <c:cat>
            <c:multiLvlStrRef>
              <c:f>SAISIE!$H$168:$J$168</c:f>
            </c:multiLvlStrRef>
          </c:cat>
          <c:val>
            <c:numRef>
              <c:f>SAISIE!$H$169:$J$169</c:f>
              <c:numCache>
                <c:formatCode>0</c:formatCode>
                <c:ptCount val="3"/>
                <c:pt idx="0">
                  <c:v>#N/A</c:v>
                </c:pt>
                <c:pt idx="1">
                  <c:v>#N/A</c:v>
                </c:pt>
                <c:pt idx="2">
                  <c:v>#N/A</c:v>
                </c:pt>
              </c:numCache>
            </c:numRef>
          </c:val>
          <c:smooth val="0"/>
          <c:extLst>
            <c:ext xmlns:c16="http://schemas.microsoft.com/office/drawing/2014/chart" uri="{C3380CC4-5D6E-409C-BE32-E72D297353CC}">
              <c16:uniqueId val="{00000000-9E1D-4351-AF73-6FFD1F755281}"/>
            </c:ext>
          </c:extLst>
        </c:ser>
        <c:ser>
          <c:idx val="1"/>
          <c:order val="1"/>
          <c:tx>
            <c:strRef>
              <c:f>SAISIE!$C$170</c:f>
              <c:strCache>
                <c:ptCount val="1"/>
                <c:pt idx="0">
                  <c:v>Engrais total</c:v>
                </c:pt>
              </c:strCache>
            </c:strRef>
          </c:tx>
          <c:spPr>
            <a:ln w="28575" cap="rnd">
              <a:solidFill>
                <a:srgbClr val="9BBB59">
                  <a:lumMod val="50000"/>
                </a:srgbClr>
              </a:solidFill>
              <a:round/>
            </a:ln>
            <a:effectLst/>
          </c:spPr>
          <c:marker>
            <c:symbol val="square"/>
            <c:size val="6"/>
            <c:spPr>
              <a:solidFill>
                <a:srgbClr val="9BBB59">
                  <a:lumMod val="50000"/>
                </a:srgbClr>
              </a:solidFill>
              <a:ln w="9525">
                <a:solidFill>
                  <a:srgbClr val="9BBB59">
                    <a:lumMod val="50000"/>
                  </a:srgbClr>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16-5461-4004-99D5-8E486D61F5ED}"/>
                </c:ext>
              </c:extLst>
            </c:dLbl>
            <c:dLbl>
              <c:idx val="1"/>
              <c:delete val="1"/>
              <c:extLst>
                <c:ext xmlns:c15="http://schemas.microsoft.com/office/drawing/2012/chart" uri="{CE6537A1-D6FC-4f65-9D91-7224C49458BB}"/>
                <c:ext xmlns:c16="http://schemas.microsoft.com/office/drawing/2014/chart" uri="{C3380CC4-5D6E-409C-BE32-E72D297353CC}">
                  <c16:uniqueId val="{00000015-5461-4004-99D5-8E486D61F5E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3">
                        <a:lumMod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SAISIE!$H$168:$J$168</c:f>
            </c:multiLvlStrRef>
          </c:cat>
          <c:val>
            <c:numRef>
              <c:f>SAISIE!$H$170:$J$170</c:f>
              <c:numCache>
                <c:formatCode>0</c:formatCode>
                <c:ptCount val="3"/>
                <c:pt idx="0">
                  <c:v>#N/A</c:v>
                </c:pt>
                <c:pt idx="1">
                  <c:v>#N/A</c:v>
                </c:pt>
                <c:pt idx="2">
                  <c:v>#N/A</c:v>
                </c:pt>
              </c:numCache>
            </c:numRef>
          </c:val>
          <c:smooth val="0"/>
          <c:extLst>
            <c:ext xmlns:c16="http://schemas.microsoft.com/office/drawing/2014/chart" uri="{C3380CC4-5D6E-409C-BE32-E72D297353CC}">
              <c16:uniqueId val="{00000001-9E1D-4351-AF73-6FFD1F755281}"/>
            </c:ext>
          </c:extLst>
        </c:ser>
        <c:ser>
          <c:idx val="2"/>
          <c:order val="2"/>
          <c:tx>
            <c:strRef>
              <c:f>SAISIE!$C$171</c:f>
              <c:strCache>
                <c:ptCount val="1"/>
                <c:pt idx="0">
                  <c:v>dont Azote simple</c:v>
                </c:pt>
              </c:strCache>
            </c:strRef>
          </c:tx>
          <c:spPr>
            <a:ln w="28575" cap="rnd">
              <a:solidFill>
                <a:srgbClr val="9BBB59"/>
              </a:solidFill>
              <a:prstDash val="dash"/>
              <a:round/>
            </a:ln>
            <a:effectLst/>
          </c:spPr>
          <c:marker>
            <c:symbol val="diamond"/>
            <c:size val="7"/>
            <c:spPr>
              <a:solidFill>
                <a:srgbClr val="9BBB59"/>
              </a:solidFill>
              <a:ln w="9525">
                <a:solidFill>
                  <a:srgbClr val="9BBB59"/>
                </a:solidFill>
              </a:ln>
              <a:effectLst/>
            </c:spPr>
          </c:marker>
          <c:cat>
            <c:multiLvlStrRef>
              <c:f>SAISIE!$H$168:$J$168</c:f>
            </c:multiLvlStrRef>
          </c:cat>
          <c:val>
            <c:numRef>
              <c:f>SAISIE!$H$171:$J$171</c:f>
              <c:numCache>
                <c:formatCode>0</c:formatCode>
                <c:ptCount val="3"/>
                <c:pt idx="0">
                  <c:v>#N/A</c:v>
                </c:pt>
                <c:pt idx="1">
                  <c:v>#N/A</c:v>
                </c:pt>
                <c:pt idx="2">
                  <c:v>#N/A</c:v>
                </c:pt>
              </c:numCache>
            </c:numRef>
          </c:val>
          <c:smooth val="0"/>
          <c:extLst>
            <c:ext xmlns:c16="http://schemas.microsoft.com/office/drawing/2014/chart" uri="{C3380CC4-5D6E-409C-BE32-E72D297353CC}">
              <c16:uniqueId val="{00000002-9E1D-4351-AF73-6FFD1F755281}"/>
            </c:ext>
          </c:extLst>
        </c:ser>
        <c:ser>
          <c:idx val="3"/>
          <c:order val="3"/>
          <c:tx>
            <c:strRef>
              <c:f>SAISIE!$C$172</c:f>
              <c:strCache>
                <c:ptCount val="1"/>
                <c:pt idx="0">
                  <c:v>Produits phytosanitaires</c:v>
                </c:pt>
              </c:strCache>
            </c:strRef>
          </c:tx>
          <c:spPr>
            <a:ln w="28575" cap="rnd">
              <a:solidFill>
                <a:srgbClr val="00B0F0"/>
              </a:solidFill>
              <a:round/>
            </a:ln>
            <a:effectLst/>
          </c:spPr>
          <c:marker>
            <c:symbol val="circle"/>
            <c:size val="5"/>
            <c:spPr>
              <a:solidFill>
                <a:srgbClr val="00B0F0"/>
              </a:solidFill>
              <a:ln w="9525">
                <a:solidFill>
                  <a:srgbClr val="00B0F0"/>
                </a:solidFill>
              </a:ln>
              <a:effectLst/>
            </c:spPr>
          </c:marker>
          <c:cat>
            <c:multiLvlStrRef>
              <c:f>SAISIE!$H$168:$J$168</c:f>
            </c:multiLvlStrRef>
          </c:cat>
          <c:val>
            <c:numRef>
              <c:f>SAISIE!$H$172:$J$172</c:f>
              <c:numCache>
                <c:formatCode>0</c:formatCode>
                <c:ptCount val="3"/>
                <c:pt idx="0">
                  <c:v>#N/A</c:v>
                </c:pt>
                <c:pt idx="1">
                  <c:v>#N/A</c:v>
                </c:pt>
                <c:pt idx="2">
                  <c:v>#N/A</c:v>
                </c:pt>
              </c:numCache>
            </c:numRef>
          </c:val>
          <c:smooth val="0"/>
          <c:extLst>
            <c:ext xmlns:c16="http://schemas.microsoft.com/office/drawing/2014/chart" uri="{C3380CC4-5D6E-409C-BE32-E72D297353CC}">
              <c16:uniqueId val="{00000003-9E1D-4351-AF73-6FFD1F755281}"/>
            </c:ext>
          </c:extLst>
        </c:ser>
        <c:ser>
          <c:idx val="4"/>
          <c:order val="4"/>
          <c:tx>
            <c:strRef>
              <c:f>SAISIE!$C$173</c:f>
              <c:strCache>
                <c:ptCount val="1"/>
                <c:pt idx="0">
                  <c:v>Irrigation (redevance+énergie)</c:v>
                </c:pt>
              </c:strCache>
            </c:strRef>
          </c:tx>
          <c:spPr>
            <a:ln w="28575" cap="rnd">
              <a:solidFill>
                <a:srgbClr val="0070C0"/>
              </a:solidFill>
              <a:prstDash val="solid"/>
              <a:round/>
            </a:ln>
            <a:effectLst/>
          </c:spPr>
          <c:marker>
            <c:symbol val="circle"/>
            <c:size val="5"/>
            <c:spPr>
              <a:solidFill>
                <a:srgbClr val="0070C0"/>
              </a:solidFill>
              <a:ln w="9525">
                <a:solidFill>
                  <a:srgbClr val="0070C0"/>
                </a:solidFill>
              </a:ln>
              <a:effectLst/>
            </c:spPr>
          </c:marker>
          <c:cat>
            <c:multiLvlStrRef>
              <c:f>SAISIE!$H$168:$J$168</c:f>
            </c:multiLvlStrRef>
          </c:cat>
          <c:val>
            <c:numRef>
              <c:f>SAISIE!$H$173:$J$173</c:f>
              <c:numCache>
                <c:formatCode>0</c:formatCode>
                <c:ptCount val="3"/>
                <c:pt idx="0">
                  <c:v>#N/A</c:v>
                </c:pt>
                <c:pt idx="1">
                  <c:v>#N/A</c:v>
                </c:pt>
                <c:pt idx="2">
                  <c:v>#N/A</c:v>
                </c:pt>
              </c:numCache>
            </c:numRef>
          </c:val>
          <c:smooth val="0"/>
          <c:extLst>
            <c:ext xmlns:c16="http://schemas.microsoft.com/office/drawing/2014/chart" uri="{C3380CC4-5D6E-409C-BE32-E72D297353CC}">
              <c16:uniqueId val="{00000004-9E1D-4351-AF73-6FFD1F755281}"/>
            </c:ext>
          </c:extLst>
        </c:ser>
        <c:ser>
          <c:idx val="5"/>
          <c:order val="5"/>
          <c:tx>
            <c:strRef>
              <c:f>SAISIE!$C$174</c:f>
              <c:strCache>
                <c:ptCount val="1"/>
                <c:pt idx="0">
                  <c:v>Autres intrants</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multiLvlStrRef>
              <c:f>SAISIE!$H$168:$J$168</c:f>
            </c:multiLvlStrRef>
          </c:cat>
          <c:val>
            <c:numRef>
              <c:f>SAISIE!$H$174:$J$174</c:f>
              <c:numCache>
                <c:formatCode>0</c:formatCode>
                <c:ptCount val="3"/>
                <c:pt idx="0">
                  <c:v>#N/A</c:v>
                </c:pt>
                <c:pt idx="1">
                  <c:v>#N/A</c:v>
                </c:pt>
                <c:pt idx="2">
                  <c:v>#N/A</c:v>
                </c:pt>
              </c:numCache>
            </c:numRef>
          </c:val>
          <c:smooth val="0"/>
          <c:extLst>
            <c:ext xmlns:c16="http://schemas.microsoft.com/office/drawing/2014/chart" uri="{C3380CC4-5D6E-409C-BE32-E72D297353CC}">
              <c16:uniqueId val="{00000005-9E1D-4351-AF73-6FFD1F755281}"/>
            </c:ext>
          </c:extLst>
        </c:ser>
        <c:ser>
          <c:idx val="6"/>
          <c:order val="6"/>
          <c:tx>
            <c:strRef>
              <c:f>SAISIE!$C$175</c:f>
              <c:strCache>
                <c:ptCount val="1"/>
                <c:pt idx="0">
                  <c:v>Séchage</c:v>
                </c:pt>
              </c:strCache>
            </c:strRef>
          </c:tx>
          <c:spPr>
            <a:ln w="28575" cap="rnd">
              <a:solidFill>
                <a:srgbClr val="CC9900"/>
              </a:solidFill>
              <a:round/>
            </a:ln>
            <a:effectLst/>
          </c:spPr>
          <c:marker>
            <c:symbol val="circle"/>
            <c:size val="5"/>
            <c:spPr>
              <a:solidFill>
                <a:srgbClr val="CC9900"/>
              </a:solidFill>
              <a:ln w="9525">
                <a:solidFill>
                  <a:srgbClr val="CC9900"/>
                </a:solidFill>
              </a:ln>
              <a:effectLst/>
            </c:spPr>
          </c:marker>
          <c:cat>
            <c:multiLvlStrRef>
              <c:f>SAISIE!$H$168:$J$168</c:f>
            </c:multiLvlStrRef>
          </c:cat>
          <c:val>
            <c:numRef>
              <c:f>SAISIE!$H$175:$J$175</c:f>
              <c:numCache>
                <c:formatCode>0</c:formatCode>
                <c:ptCount val="3"/>
                <c:pt idx="0">
                  <c:v>#N/A</c:v>
                </c:pt>
                <c:pt idx="1">
                  <c:v>#N/A</c:v>
                </c:pt>
                <c:pt idx="2">
                  <c:v>#N/A</c:v>
                </c:pt>
              </c:numCache>
            </c:numRef>
          </c:val>
          <c:smooth val="0"/>
          <c:extLst>
            <c:ext xmlns:c16="http://schemas.microsoft.com/office/drawing/2014/chart" uri="{C3380CC4-5D6E-409C-BE32-E72D297353CC}">
              <c16:uniqueId val="{00000006-9E1D-4351-AF73-6FFD1F755281}"/>
            </c:ext>
          </c:extLst>
        </c:ser>
        <c:ser>
          <c:idx val="7"/>
          <c:order val="7"/>
          <c:tx>
            <c:strRef>
              <c:f>SAISIE!$C$176</c:f>
              <c:strCache>
                <c:ptCount val="1"/>
                <c:pt idx="0">
                  <c:v>Stockage (énergie)</c:v>
                </c:pt>
              </c:strCache>
            </c:strRef>
          </c:tx>
          <c:spPr>
            <a:ln w="28575" cap="rnd">
              <a:solidFill>
                <a:srgbClr val="F79646">
                  <a:lumMod val="50000"/>
                </a:srgbClr>
              </a:solidFill>
              <a:round/>
            </a:ln>
            <a:effectLst/>
          </c:spPr>
          <c:marker>
            <c:symbol val="circle"/>
            <c:size val="5"/>
            <c:spPr>
              <a:solidFill>
                <a:srgbClr val="F79646">
                  <a:lumMod val="50000"/>
                </a:srgbClr>
              </a:solidFill>
              <a:ln w="9525">
                <a:solidFill>
                  <a:srgbClr val="F79646">
                    <a:lumMod val="50000"/>
                  </a:srgbClr>
                </a:solidFill>
              </a:ln>
              <a:effectLst/>
            </c:spPr>
          </c:marker>
          <c:cat>
            <c:multiLvlStrRef>
              <c:f>SAISIE!$H$168:$J$168</c:f>
            </c:multiLvlStrRef>
          </c:cat>
          <c:val>
            <c:numRef>
              <c:f>SAISIE!$H$176:$J$176</c:f>
              <c:numCache>
                <c:formatCode>0</c:formatCode>
                <c:ptCount val="3"/>
                <c:pt idx="0">
                  <c:v>#N/A</c:v>
                </c:pt>
                <c:pt idx="1">
                  <c:v>#N/A</c:v>
                </c:pt>
                <c:pt idx="2">
                  <c:v>#N/A</c:v>
                </c:pt>
              </c:numCache>
            </c:numRef>
          </c:val>
          <c:smooth val="0"/>
          <c:extLst>
            <c:ext xmlns:c16="http://schemas.microsoft.com/office/drawing/2014/chart" uri="{C3380CC4-5D6E-409C-BE32-E72D297353CC}">
              <c16:uniqueId val="{00000007-9E1D-4351-AF73-6FFD1F755281}"/>
            </c:ext>
          </c:extLst>
        </c:ser>
        <c:ser>
          <c:idx val="8"/>
          <c:order val="8"/>
          <c:tx>
            <c:strRef>
              <c:f>SAISIE!$C$177</c:f>
              <c:strCache>
                <c:ptCount val="1"/>
                <c:pt idx="0">
                  <c:v>Carburant</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14-5461-4004-99D5-8E486D61F5ED}"/>
                </c:ext>
              </c:extLst>
            </c:dLbl>
            <c:dLbl>
              <c:idx val="1"/>
              <c:delete val="1"/>
              <c:extLst>
                <c:ext xmlns:c15="http://schemas.microsoft.com/office/drawing/2012/chart" uri="{CE6537A1-D6FC-4f65-9D91-7224C49458BB}"/>
                <c:ext xmlns:c16="http://schemas.microsoft.com/office/drawing/2014/chart" uri="{C3380CC4-5D6E-409C-BE32-E72D297353CC}">
                  <c16:uniqueId val="{00000013-5461-4004-99D5-8E486D61F5E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7030A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SAISIE!$H$168:$J$168</c:f>
            </c:multiLvlStrRef>
          </c:cat>
          <c:val>
            <c:numRef>
              <c:f>SAISIE!$H$177:$J$177</c:f>
              <c:numCache>
                <c:formatCode>0</c:formatCode>
                <c:ptCount val="3"/>
                <c:pt idx="0">
                  <c:v>#N/A</c:v>
                </c:pt>
                <c:pt idx="1">
                  <c:v>#N/A</c:v>
                </c:pt>
                <c:pt idx="2">
                  <c:v>#N/A</c:v>
                </c:pt>
              </c:numCache>
            </c:numRef>
          </c:val>
          <c:smooth val="0"/>
          <c:extLst>
            <c:ext xmlns:c16="http://schemas.microsoft.com/office/drawing/2014/chart" uri="{C3380CC4-5D6E-409C-BE32-E72D297353CC}">
              <c16:uniqueId val="{00000008-9E1D-4351-AF73-6FFD1F755281}"/>
            </c:ext>
          </c:extLst>
        </c:ser>
        <c:ser>
          <c:idx val="9"/>
          <c:order val="9"/>
          <c:tx>
            <c:strRef>
              <c:f>SAISIE!$C$178</c:f>
              <c:strCache>
                <c:ptCount val="1"/>
                <c:pt idx="0">
                  <c:v>Entretien-réparation</c:v>
                </c:pt>
              </c:strCache>
            </c:strRef>
          </c:tx>
          <c:spPr>
            <a:ln w="28575" cap="rnd">
              <a:solidFill>
                <a:srgbClr val="CC00CC"/>
              </a:solidFill>
              <a:round/>
            </a:ln>
            <a:effectLst/>
          </c:spPr>
          <c:marker>
            <c:symbol val="circle"/>
            <c:size val="5"/>
            <c:spPr>
              <a:solidFill>
                <a:srgbClr val="CC00CC"/>
              </a:solidFill>
              <a:ln w="9525">
                <a:solidFill>
                  <a:srgbClr val="CC00CC"/>
                </a:solidFill>
              </a:ln>
              <a:effectLst/>
            </c:spPr>
          </c:marker>
          <c:cat>
            <c:multiLvlStrRef>
              <c:f>SAISIE!$H$168:$J$168</c:f>
            </c:multiLvlStrRef>
          </c:cat>
          <c:val>
            <c:numRef>
              <c:f>SAISIE!$H$178:$J$178</c:f>
              <c:numCache>
                <c:formatCode>0</c:formatCode>
                <c:ptCount val="3"/>
                <c:pt idx="0">
                  <c:v>#N/A</c:v>
                </c:pt>
                <c:pt idx="1">
                  <c:v>#N/A</c:v>
                </c:pt>
                <c:pt idx="2">
                  <c:v>#N/A</c:v>
                </c:pt>
              </c:numCache>
            </c:numRef>
          </c:val>
          <c:smooth val="0"/>
          <c:extLst>
            <c:ext xmlns:c16="http://schemas.microsoft.com/office/drawing/2014/chart" uri="{C3380CC4-5D6E-409C-BE32-E72D297353CC}">
              <c16:uniqueId val="{00000009-9E1D-4351-AF73-6FFD1F755281}"/>
            </c:ext>
          </c:extLst>
        </c:ser>
        <c:ser>
          <c:idx val="10"/>
          <c:order val="10"/>
          <c:tx>
            <c:strRef>
              <c:f>SAISIE!$C$179</c:f>
              <c:strCache>
                <c:ptCount val="1"/>
                <c:pt idx="0">
                  <c:v>Travaux par tiers</c:v>
                </c:pt>
              </c:strCache>
            </c:strRef>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multiLvlStrRef>
              <c:f>SAISIE!$H$168:$J$168</c:f>
            </c:multiLvlStrRef>
          </c:cat>
          <c:val>
            <c:numRef>
              <c:f>SAISIE!$H$179:$J$179</c:f>
              <c:numCache>
                <c:formatCode>0</c:formatCode>
                <c:ptCount val="3"/>
                <c:pt idx="0">
                  <c:v>#N/A</c:v>
                </c:pt>
                <c:pt idx="1">
                  <c:v>#N/A</c:v>
                </c:pt>
                <c:pt idx="2">
                  <c:v>#N/A</c:v>
                </c:pt>
              </c:numCache>
            </c:numRef>
          </c:val>
          <c:smooth val="0"/>
          <c:extLst>
            <c:ext xmlns:c16="http://schemas.microsoft.com/office/drawing/2014/chart" uri="{C3380CC4-5D6E-409C-BE32-E72D297353CC}">
              <c16:uniqueId val="{0000000A-9E1D-4351-AF73-6FFD1F755281}"/>
            </c:ext>
          </c:extLst>
        </c:ser>
        <c:ser>
          <c:idx val="11"/>
          <c:order val="11"/>
          <c:tx>
            <c:strRef>
              <c:f>SAISIE!$C$180</c:f>
              <c:strCache>
                <c:ptCount val="1"/>
                <c:pt idx="0">
                  <c:v>Autres charges (1)</c:v>
                </c:pt>
              </c:strCache>
            </c:strRef>
          </c:tx>
          <c:spPr>
            <a:ln w="28575" cap="rnd">
              <a:solidFill>
                <a:sysClr val="window" lastClr="FFFFFF">
                  <a:lumMod val="65000"/>
                </a:sysClr>
              </a:solidFill>
              <a:round/>
            </a:ln>
            <a:effectLst/>
          </c:spPr>
          <c:marker>
            <c:symbol val="circle"/>
            <c:size val="5"/>
            <c:spPr>
              <a:solidFill>
                <a:sysClr val="window" lastClr="FFFFFF">
                  <a:lumMod val="65000"/>
                </a:sysClr>
              </a:solidFill>
              <a:ln w="9525">
                <a:solidFill>
                  <a:sysClr val="window" lastClr="FFFFFF">
                    <a:lumMod val="65000"/>
                  </a:sysClr>
                </a:solidFill>
              </a:ln>
              <a:effectLst/>
            </c:spPr>
          </c:marker>
          <c:cat>
            <c:multiLvlStrRef>
              <c:f>SAISIE!$H$168:$J$168</c:f>
            </c:multiLvlStrRef>
          </c:cat>
          <c:val>
            <c:numRef>
              <c:f>SAISIE!$H$180:$J$180</c:f>
              <c:numCache>
                <c:formatCode>0</c:formatCode>
                <c:ptCount val="3"/>
                <c:pt idx="0">
                  <c:v>#N/A</c:v>
                </c:pt>
                <c:pt idx="1">
                  <c:v>#N/A</c:v>
                </c:pt>
                <c:pt idx="2">
                  <c:v>#N/A</c:v>
                </c:pt>
              </c:numCache>
            </c:numRef>
          </c:val>
          <c:smooth val="0"/>
          <c:extLst>
            <c:ext xmlns:c16="http://schemas.microsoft.com/office/drawing/2014/chart" uri="{C3380CC4-5D6E-409C-BE32-E72D297353CC}">
              <c16:uniqueId val="{0000000B-9E1D-4351-AF73-6FFD1F755281}"/>
            </c:ext>
          </c:extLst>
        </c:ser>
        <c:ser>
          <c:idx val="12"/>
          <c:order val="12"/>
          <c:tx>
            <c:strRef>
              <c:f>SAISIE!$C$181</c:f>
              <c:strCache>
                <c:ptCount val="1"/>
                <c:pt idx="0">
                  <c:v>Rémunération de la MO familiale</c:v>
                </c:pt>
              </c:strCache>
            </c:strRef>
          </c:tx>
          <c:spPr>
            <a:ln w="28575" cap="rnd">
              <a:solidFill>
                <a:srgbClr val="4BACC6">
                  <a:lumMod val="75000"/>
                </a:srgbClr>
              </a:solidFill>
              <a:round/>
            </a:ln>
            <a:effectLst/>
          </c:spPr>
          <c:marker>
            <c:symbol val="circle"/>
            <c:size val="5"/>
            <c:spPr>
              <a:solidFill>
                <a:srgbClr val="4BACC6">
                  <a:lumMod val="75000"/>
                </a:srgbClr>
              </a:solidFill>
              <a:ln w="9525">
                <a:solidFill>
                  <a:srgbClr val="4BACC6">
                    <a:lumMod val="75000"/>
                  </a:srgbClr>
                </a:solidFill>
              </a:ln>
              <a:effectLst/>
            </c:spPr>
          </c:marker>
          <c:cat>
            <c:multiLvlStrRef>
              <c:f>SAISIE!$H$168:$J$168</c:f>
            </c:multiLvlStrRef>
          </c:cat>
          <c:val>
            <c:numRef>
              <c:f>SAISIE!$H$181:$J$181</c:f>
              <c:numCache>
                <c:formatCode>0</c:formatCode>
                <c:ptCount val="3"/>
                <c:pt idx="0">
                  <c:v>#N/A</c:v>
                </c:pt>
                <c:pt idx="1">
                  <c:v>#N/A</c:v>
                </c:pt>
                <c:pt idx="2">
                  <c:v>#N/A</c:v>
                </c:pt>
              </c:numCache>
            </c:numRef>
          </c:val>
          <c:smooth val="0"/>
          <c:extLst>
            <c:ext xmlns:c16="http://schemas.microsoft.com/office/drawing/2014/chart" uri="{C3380CC4-5D6E-409C-BE32-E72D297353CC}">
              <c16:uniqueId val="{00000001-5461-4004-99D5-8E486D61F5ED}"/>
            </c:ext>
          </c:extLst>
        </c:ser>
        <c:ser>
          <c:idx val="13"/>
          <c:order val="13"/>
          <c:tx>
            <c:strRef>
              <c:f>SAISIE!$C$182</c:f>
              <c:strCache>
                <c:ptCount val="1"/>
                <c:pt idx="0">
                  <c:v>Total des charges</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12-5461-4004-99D5-8E486D61F5ED}"/>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461-4004-99D5-8E486D61F5ED}"/>
                </c:ext>
              </c:extLst>
            </c:dLbl>
            <c:dLbl>
              <c:idx val="2"/>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7F-4DC2-97A3-85857B2C6E8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FF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SAISIE!$H$168:$J$168</c:f>
            </c:multiLvlStrRef>
          </c:cat>
          <c:val>
            <c:numRef>
              <c:f>SAISIE!$H$182:$J$182</c:f>
              <c:numCache>
                <c:formatCode>0</c:formatCode>
                <c:ptCount val="3"/>
                <c:pt idx="0">
                  <c:v>#N/A</c:v>
                </c:pt>
                <c:pt idx="1">
                  <c:v>#N/A</c:v>
                </c:pt>
                <c:pt idx="2">
                  <c:v>#N/A</c:v>
                </c:pt>
              </c:numCache>
            </c:numRef>
          </c:val>
          <c:smooth val="0"/>
          <c:extLst>
            <c:ext xmlns:c16="http://schemas.microsoft.com/office/drawing/2014/chart" uri="{C3380CC4-5D6E-409C-BE32-E72D297353CC}">
              <c16:uniqueId val="{00000002-5461-4004-99D5-8E486D61F5ED}"/>
            </c:ext>
          </c:extLst>
        </c:ser>
        <c:dLbls>
          <c:showLegendKey val="0"/>
          <c:showVal val="0"/>
          <c:showCatName val="0"/>
          <c:showSerName val="0"/>
          <c:showPercent val="0"/>
          <c:showBubbleSize val="0"/>
        </c:dLbls>
        <c:marker val="1"/>
        <c:smooth val="0"/>
        <c:axId val="625307560"/>
        <c:axId val="625301328"/>
      </c:lineChart>
      <c:catAx>
        <c:axId val="625307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625301328"/>
        <c:crosses val="autoZero"/>
        <c:auto val="1"/>
        <c:lblAlgn val="ctr"/>
        <c:lblOffset val="100"/>
        <c:noMultiLvlLbl val="0"/>
      </c:catAx>
      <c:valAx>
        <c:axId val="625301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ysClr val="window" lastClr="FFFFFF">
                <a:lumMod val="65000"/>
                <a:alpha val="90000"/>
              </a:sysClr>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625307560"/>
        <c:crosses val="autoZero"/>
        <c:crossBetween val="between"/>
      </c:valAx>
      <c:spPr>
        <a:noFill/>
        <a:ln>
          <a:noFill/>
        </a:ln>
        <a:effectLst/>
      </c:spPr>
    </c:plotArea>
    <c:plotVisOnly val="0"/>
    <c:dispBlanksAs val="gap"/>
    <c:showDLblsOverMax val="0"/>
    <c:extLst/>
  </c:chart>
  <c:spPr>
    <a:noFill/>
    <a:ln w="9525" cap="flat" cmpd="sng" algn="ctr">
      <a:solidFill>
        <a:sysClr val="window" lastClr="FFFFFF">
          <a:lumMod val="65000"/>
        </a:sysClr>
      </a:solidFill>
      <a:round/>
    </a:ln>
    <a:effectLst/>
  </c:spPr>
  <c:txPr>
    <a:bodyPr/>
    <a:lstStyle/>
    <a:p>
      <a:pPr>
        <a:defRPr sz="1400" b="1">
          <a:solidFill>
            <a:sysClr val="windowText" lastClr="000000"/>
          </a:solidFill>
        </a:defRPr>
      </a:pPr>
      <a:endParaRPr lang="fr-FR"/>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19020086122401"/>
          <c:y val="0.20424730223912618"/>
          <c:w val="0.77173231562402766"/>
          <c:h val="0.68571797127910827"/>
        </c:manualLayout>
      </c:layout>
      <c:barChart>
        <c:barDir val="col"/>
        <c:grouping val="stacked"/>
        <c:varyColors val="0"/>
        <c:ser>
          <c:idx val="0"/>
          <c:order val="0"/>
          <c:tx>
            <c:strRef>
              <c:f>SAISIE!$C$132</c:f>
              <c:strCache>
                <c:ptCount val="1"/>
                <c:pt idx="0">
                  <c:v>Semences</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SAISIE!$E$132:$G$132</c:f>
              <c:numCache>
                <c:formatCode>0</c:formatCode>
                <c:ptCount val="3"/>
                <c:pt idx="0">
                  <c:v>0</c:v>
                </c:pt>
                <c:pt idx="1">
                  <c:v>0</c:v>
                </c:pt>
                <c:pt idx="2">
                  <c:v>0</c:v>
                </c:pt>
              </c:numCache>
            </c:numRef>
          </c:val>
          <c:extLst>
            <c:ext xmlns:c16="http://schemas.microsoft.com/office/drawing/2014/chart" uri="{C3380CC4-5D6E-409C-BE32-E72D297353CC}">
              <c16:uniqueId val="{00000000-5C58-49B7-BF96-7699AC41EC11}"/>
            </c:ext>
          </c:extLst>
        </c:ser>
        <c:ser>
          <c:idx val="1"/>
          <c:order val="1"/>
          <c:tx>
            <c:strRef>
              <c:f>SAISIE!$C$133</c:f>
              <c:strCache>
                <c:ptCount val="1"/>
                <c:pt idx="0">
                  <c:v>Engrais total</c:v>
                </c:pt>
              </c:strCache>
            </c:strRef>
          </c:tx>
          <c:spPr>
            <a:solidFill>
              <a:srgbClr val="9BBB59">
                <a:lumMod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SAISIE!$E$133:$G$133</c:f>
              <c:numCache>
                <c:formatCode>0</c:formatCode>
                <c:ptCount val="3"/>
                <c:pt idx="0">
                  <c:v>0</c:v>
                </c:pt>
                <c:pt idx="1">
                  <c:v>0</c:v>
                </c:pt>
                <c:pt idx="2">
                  <c:v>0</c:v>
                </c:pt>
              </c:numCache>
            </c:numRef>
          </c:val>
          <c:extLst>
            <c:ext xmlns:c16="http://schemas.microsoft.com/office/drawing/2014/chart" uri="{C3380CC4-5D6E-409C-BE32-E72D297353CC}">
              <c16:uniqueId val="{0000000D-5C58-49B7-BF96-7699AC41EC11}"/>
            </c:ext>
          </c:extLst>
        </c:ser>
        <c:ser>
          <c:idx val="2"/>
          <c:order val="2"/>
          <c:tx>
            <c:strRef>
              <c:f>SAISIE!$C$135</c:f>
              <c:strCache>
                <c:ptCount val="1"/>
                <c:pt idx="0">
                  <c:v>Produits phytosanitaires</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SAISIE!$E$135:$G$135</c:f>
              <c:numCache>
                <c:formatCode>0</c:formatCode>
                <c:ptCount val="3"/>
                <c:pt idx="0">
                  <c:v>0</c:v>
                </c:pt>
                <c:pt idx="1">
                  <c:v>0</c:v>
                </c:pt>
                <c:pt idx="2">
                  <c:v>0</c:v>
                </c:pt>
              </c:numCache>
            </c:numRef>
          </c:val>
          <c:extLst>
            <c:ext xmlns:c16="http://schemas.microsoft.com/office/drawing/2014/chart" uri="{C3380CC4-5D6E-409C-BE32-E72D297353CC}">
              <c16:uniqueId val="{00000011-5C58-49B7-BF96-7699AC41EC11}"/>
            </c:ext>
          </c:extLst>
        </c:ser>
        <c:ser>
          <c:idx val="3"/>
          <c:order val="3"/>
          <c:tx>
            <c:strRef>
              <c:f>SAISIE!$C$136</c:f>
              <c:strCache>
                <c:ptCount val="1"/>
                <c:pt idx="0">
                  <c:v>Irrigation (redevance+énergie)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SAISIE!$E$136:$G$136</c:f>
              <c:numCache>
                <c:formatCode>0</c:formatCode>
                <c:ptCount val="3"/>
                <c:pt idx="0">
                  <c:v>0</c:v>
                </c:pt>
                <c:pt idx="1">
                  <c:v>0</c:v>
                </c:pt>
                <c:pt idx="2">
                  <c:v>0</c:v>
                </c:pt>
              </c:numCache>
            </c:numRef>
          </c:val>
          <c:extLst>
            <c:ext xmlns:c16="http://schemas.microsoft.com/office/drawing/2014/chart" uri="{C3380CC4-5D6E-409C-BE32-E72D297353CC}">
              <c16:uniqueId val="{00000012-5C58-49B7-BF96-7699AC41EC11}"/>
            </c:ext>
          </c:extLst>
        </c:ser>
        <c:ser>
          <c:idx val="4"/>
          <c:order val="4"/>
          <c:tx>
            <c:strRef>
              <c:f>SAISIE!$C$137</c:f>
              <c:strCache>
                <c:ptCount val="1"/>
                <c:pt idx="0">
                  <c:v>Autres intrants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SAISIE!$E$137:$G$137</c:f>
              <c:numCache>
                <c:formatCode>0</c:formatCode>
                <c:ptCount val="3"/>
                <c:pt idx="0">
                  <c:v>0</c:v>
                </c:pt>
                <c:pt idx="1">
                  <c:v>0</c:v>
                </c:pt>
                <c:pt idx="2">
                  <c:v>0</c:v>
                </c:pt>
              </c:numCache>
            </c:numRef>
          </c:val>
          <c:extLst>
            <c:ext xmlns:c16="http://schemas.microsoft.com/office/drawing/2014/chart" uri="{C3380CC4-5D6E-409C-BE32-E72D297353CC}">
              <c16:uniqueId val="{00000013-5C58-49B7-BF96-7699AC41EC11}"/>
            </c:ext>
          </c:extLst>
        </c:ser>
        <c:ser>
          <c:idx val="5"/>
          <c:order val="5"/>
          <c:tx>
            <c:strRef>
              <c:f>SAISIE!$C$138</c:f>
              <c:strCache>
                <c:ptCount val="1"/>
                <c:pt idx="0">
                  <c:v>Séchage</c:v>
                </c:pt>
              </c:strCache>
            </c:strRef>
          </c:tx>
          <c:spPr>
            <a:solidFill>
              <a:srgbClr val="CC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SAISIE!$E$138:$G$138</c:f>
              <c:numCache>
                <c:formatCode>0</c:formatCode>
                <c:ptCount val="3"/>
                <c:pt idx="0">
                  <c:v>0</c:v>
                </c:pt>
                <c:pt idx="1">
                  <c:v>0</c:v>
                </c:pt>
                <c:pt idx="2">
                  <c:v>0</c:v>
                </c:pt>
              </c:numCache>
            </c:numRef>
          </c:val>
          <c:extLst>
            <c:ext xmlns:c16="http://schemas.microsoft.com/office/drawing/2014/chart" uri="{C3380CC4-5D6E-409C-BE32-E72D297353CC}">
              <c16:uniqueId val="{00000014-5C58-49B7-BF96-7699AC41EC11}"/>
            </c:ext>
          </c:extLst>
        </c:ser>
        <c:ser>
          <c:idx val="6"/>
          <c:order val="6"/>
          <c:tx>
            <c:strRef>
              <c:f>SAISIE!$C$139</c:f>
              <c:strCache>
                <c:ptCount val="1"/>
                <c:pt idx="0">
                  <c:v>Stockage (énergie)</c:v>
                </c:pt>
              </c:strCache>
            </c:strRef>
          </c:tx>
          <c:spPr>
            <a:solidFill>
              <a:srgbClr val="F79646">
                <a:lumMod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SAISIE!$E$139:$G$139</c:f>
              <c:numCache>
                <c:formatCode>0</c:formatCode>
                <c:ptCount val="3"/>
                <c:pt idx="0">
                  <c:v>0</c:v>
                </c:pt>
                <c:pt idx="1">
                  <c:v>0</c:v>
                </c:pt>
                <c:pt idx="2">
                  <c:v>0</c:v>
                </c:pt>
              </c:numCache>
            </c:numRef>
          </c:val>
          <c:extLst>
            <c:ext xmlns:c16="http://schemas.microsoft.com/office/drawing/2014/chart" uri="{C3380CC4-5D6E-409C-BE32-E72D297353CC}">
              <c16:uniqueId val="{00000015-5C58-49B7-BF96-7699AC41EC11}"/>
            </c:ext>
          </c:extLst>
        </c:ser>
        <c:ser>
          <c:idx val="7"/>
          <c:order val="7"/>
          <c:tx>
            <c:strRef>
              <c:f>SAISIE!$C$140</c:f>
              <c:strCache>
                <c:ptCount val="1"/>
                <c:pt idx="0">
                  <c:v>Carburant</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SAISIE!$E$140:$G$140</c:f>
              <c:numCache>
                <c:formatCode>0</c:formatCode>
                <c:ptCount val="3"/>
                <c:pt idx="0">
                  <c:v>0</c:v>
                </c:pt>
                <c:pt idx="1">
                  <c:v>0</c:v>
                </c:pt>
                <c:pt idx="2">
                  <c:v>0</c:v>
                </c:pt>
              </c:numCache>
            </c:numRef>
          </c:val>
          <c:extLst>
            <c:ext xmlns:c16="http://schemas.microsoft.com/office/drawing/2014/chart" uri="{C3380CC4-5D6E-409C-BE32-E72D297353CC}">
              <c16:uniqueId val="{00000016-5C58-49B7-BF96-7699AC41EC11}"/>
            </c:ext>
          </c:extLst>
        </c:ser>
        <c:ser>
          <c:idx val="8"/>
          <c:order val="8"/>
          <c:tx>
            <c:strRef>
              <c:f>SAISIE!$C$141</c:f>
              <c:strCache>
                <c:ptCount val="1"/>
                <c:pt idx="0">
                  <c:v>Entretien-réparation</c:v>
                </c:pt>
              </c:strCache>
            </c:strRef>
          </c:tx>
          <c:spPr>
            <a:solidFill>
              <a:srgbClr val="CC00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SAISIE!$E$141:$G$141</c:f>
              <c:numCache>
                <c:formatCode>0</c:formatCode>
                <c:ptCount val="3"/>
                <c:pt idx="0">
                  <c:v>0</c:v>
                </c:pt>
                <c:pt idx="1">
                  <c:v>0</c:v>
                </c:pt>
                <c:pt idx="2">
                  <c:v>0</c:v>
                </c:pt>
              </c:numCache>
            </c:numRef>
          </c:val>
          <c:extLst>
            <c:ext xmlns:c16="http://schemas.microsoft.com/office/drawing/2014/chart" uri="{C3380CC4-5D6E-409C-BE32-E72D297353CC}">
              <c16:uniqueId val="{00000017-5C58-49B7-BF96-7699AC41EC11}"/>
            </c:ext>
          </c:extLst>
        </c:ser>
        <c:ser>
          <c:idx val="9"/>
          <c:order val="9"/>
          <c:tx>
            <c:strRef>
              <c:f>SAISIE!$C$142</c:f>
              <c:strCache>
                <c:ptCount val="1"/>
                <c:pt idx="0">
                  <c:v>Travaux par tiers</c:v>
                </c:pt>
              </c:strCache>
            </c:strRef>
          </c:tx>
          <c:spPr>
            <a:solidFill>
              <a:srgbClr val="F79646">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SAISIE!$E$142:$G$142</c:f>
              <c:numCache>
                <c:formatCode>0</c:formatCode>
                <c:ptCount val="3"/>
                <c:pt idx="0">
                  <c:v>0</c:v>
                </c:pt>
                <c:pt idx="1">
                  <c:v>0</c:v>
                </c:pt>
                <c:pt idx="2">
                  <c:v>0</c:v>
                </c:pt>
              </c:numCache>
            </c:numRef>
          </c:val>
          <c:extLst>
            <c:ext xmlns:c16="http://schemas.microsoft.com/office/drawing/2014/chart" uri="{C3380CC4-5D6E-409C-BE32-E72D297353CC}">
              <c16:uniqueId val="{00000018-5C58-49B7-BF96-7699AC41EC11}"/>
            </c:ext>
          </c:extLst>
        </c:ser>
        <c:ser>
          <c:idx val="10"/>
          <c:order val="10"/>
          <c:tx>
            <c:strRef>
              <c:f>SAISIE!$C$143</c:f>
              <c:strCache>
                <c:ptCount val="1"/>
                <c:pt idx="0">
                  <c:v>Autres charges (1)</c:v>
                </c:pt>
              </c:strCache>
            </c:strRef>
          </c:tx>
          <c:spPr>
            <a:solidFill>
              <a:sysClr val="window" lastClr="FFFFFF">
                <a:lumMod val="6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SAISIE!$E$143:$G$143</c:f>
              <c:numCache>
                <c:formatCode>0</c:formatCode>
                <c:ptCount val="3"/>
                <c:pt idx="0">
                  <c:v>0</c:v>
                </c:pt>
                <c:pt idx="1">
                  <c:v>0</c:v>
                </c:pt>
                <c:pt idx="2">
                  <c:v>0</c:v>
                </c:pt>
              </c:numCache>
            </c:numRef>
          </c:val>
          <c:extLst>
            <c:ext xmlns:c16="http://schemas.microsoft.com/office/drawing/2014/chart" uri="{C3380CC4-5D6E-409C-BE32-E72D297353CC}">
              <c16:uniqueId val="{00000019-5C58-49B7-BF96-7699AC41EC11}"/>
            </c:ext>
          </c:extLst>
        </c:ser>
        <c:ser>
          <c:idx val="11"/>
          <c:order val="11"/>
          <c:tx>
            <c:strRef>
              <c:f>SAISIE!$C$144</c:f>
              <c:strCache>
                <c:ptCount val="1"/>
                <c:pt idx="0">
                  <c:v>Rémunération de la MO familiale</c:v>
                </c:pt>
              </c:strCache>
            </c:strRef>
          </c:tx>
          <c:spPr>
            <a:solidFill>
              <a:srgbClr val="4BACC6">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SAISIE!$E$128:$G$128</c:f>
            </c:multiLvlStrRef>
          </c:cat>
          <c:val>
            <c:numRef>
              <c:f>SAISIE!$E$144:$G$144</c:f>
              <c:numCache>
                <c:formatCode>0</c:formatCode>
                <c:ptCount val="3"/>
                <c:pt idx="0">
                  <c:v>0</c:v>
                </c:pt>
                <c:pt idx="1">
                  <c:v>0</c:v>
                </c:pt>
                <c:pt idx="2">
                  <c:v>0</c:v>
                </c:pt>
              </c:numCache>
            </c:numRef>
          </c:val>
          <c:extLst>
            <c:ext xmlns:c16="http://schemas.microsoft.com/office/drawing/2014/chart" uri="{C3380CC4-5D6E-409C-BE32-E72D297353CC}">
              <c16:uniqueId val="{0000001A-5C58-49B7-BF96-7699AC41EC11}"/>
            </c:ext>
          </c:extLst>
        </c:ser>
        <c:dLbls>
          <c:showLegendKey val="0"/>
          <c:showVal val="0"/>
          <c:showCatName val="0"/>
          <c:showSerName val="0"/>
          <c:showPercent val="0"/>
          <c:showBubbleSize val="0"/>
        </c:dLbls>
        <c:gapWidth val="30"/>
        <c:overlap val="100"/>
        <c:axId val="626189608"/>
        <c:axId val="626191904"/>
      </c:barChart>
      <c:catAx>
        <c:axId val="626189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626191904"/>
        <c:crosses val="autoZero"/>
        <c:auto val="1"/>
        <c:lblAlgn val="ctr"/>
        <c:lblOffset val="100"/>
        <c:noMultiLvlLbl val="0"/>
      </c:catAx>
      <c:valAx>
        <c:axId val="626191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626189608"/>
        <c:crosses val="autoZero"/>
        <c:crossBetween val="between"/>
      </c:valAx>
      <c:spPr>
        <a:noFill/>
        <a:ln>
          <a:noFill/>
        </a:ln>
        <a:effectLst/>
      </c:spPr>
    </c:plotArea>
    <c:plotVisOnly val="0"/>
    <c:dispBlanksAs val="gap"/>
    <c:showDLblsOverMax val="0"/>
    <c:extLst/>
  </c:chart>
  <c:spPr>
    <a:noFill/>
    <a:ln w="9525" cap="flat" cmpd="sng" algn="ctr">
      <a:solidFill>
        <a:schemeClr val="bg1">
          <a:lumMod val="65000"/>
        </a:schemeClr>
      </a:solidFill>
      <a:round/>
    </a:ln>
    <a:effectLst/>
  </c:spPr>
  <c:txPr>
    <a:bodyPr/>
    <a:lstStyle/>
    <a:p>
      <a:pPr>
        <a:defRPr/>
      </a:pPr>
      <a:endParaRPr lang="fr-FR"/>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19020086122401"/>
          <c:y val="0.20424730223912618"/>
          <c:w val="0.77173231562402766"/>
          <c:h val="0.68263278566025154"/>
        </c:manualLayout>
      </c:layout>
      <c:barChart>
        <c:barDir val="col"/>
        <c:grouping val="stacked"/>
        <c:varyColors val="0"/>
        <c:ser>
          <c:idx val="0"/>
          <c:order val="0"/>
          <c:tx>
            <c:strRef>
              <c:f>SAISIE!$C$132</c:f>
              <c:strCache>
                <c:ptCount val="1"/>
                <c:pt idx="0">
                  <c:v>Semences</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SAISIE!$H$132:$J$132</c:f>
              <c:numCache>
                <c:formatCode>0</c:formatCode>
                <c:ptCount val="3"/>
                <c:pt idx="0">
                  <c:v>0</c:v>
                </c:pt>
                <c:pt idx="1">
                  <c:v>0</c:v>
                </c:pt>
                <c:pt idx="2">
                  <c:v>0</c:v>
                </c:pt>
              </c:numCache>
            </c:numRef>
          </c:val>
          <c:extLst>
            <c:ext xmlns:c16="http://schemas.microsoft.com/office/drawing/2014/chart" uri="{C3380CC4-5D6E-409C-BE32-E72D297353CC}">
              <c16:uniqueId val="{00000000-5C58-49B7-BF96-7699AC41EC11}"/>
            </c:ext>
          </c:extLst>
        </c:ser>
        <c:ser>
          <c:idx val="1"/>
          <c:order val="1"/>
          <c:tx>
            <c:strRef>
              <c:f>SAISIE!$C$133</c:f>
              <c:strCache>
                <c:ptCount val="1"/>
                <c:pt idx="0">
                  <c:v>Engrais total</c:v>
                </c:pt>
              </c:strCache>
            </c:strRef>
          </c:tx>
          <c:spPr>
            <a:solidFill>
              <a:srgbClr val="9BBB59">
                <a:lumMod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SAISIE!$H$133:$J$133</c:f>
              <c:numCache>
                <c:formatCode>0</c:formatCode>
                <c:ptCount val="3"/>
                <c:pt idx="0">
                  <c:v>0</c:v>
                </c:pt>
                <c:pt idx="1">
                  <c:v>0</c:v>
                </c:pt>
                <c:pt idx="2">
                  <c:v>0</c:v>
                </c:pt>
              </c:numCache>
            </c:numRef>
          </c:val>
          <c:extLst>
            <c:ext xmlns:c16="http://schemas.microsoft.com/office/drawing/2014/chart" uri="{C3380CC4-5D6E-409C-BE32-E72D297353CC}">
              <c16:uniqueId val="{0000000D-5C58-49B7-BF96-7699AC41EC11}"/>
            </c:ext>
          </c:extLst>
        </c:ser>
        <c:ser>
          <c:idx val="2"/>
          <c:order val="2"/>
          <c:tx>
            <c:strRef>
              <c:f>SAISIE!$C$135</c:f>
              <c:strCache>
                <c:ptCount val="1"/>
                <c:pt idx="0">
                  <c:v>Produits phytosanitaires</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SAISIE!$H$135:$J$135</c:f>
              <c:numCache>
                <c:formatCode>0</c:formatCode>
                <c:ptCount val="3"/>
                <c:pt idx="0">
                  <c:v>0</c:v>
                </c:pt>
                <c:pt idx="1">
                  <c:v>0</c:v>
                </c:pt>
                <c:pt idx="2">
                  <c:v>0</c:v>
                </c:pt>
              </c:numCache>
            </c:numRef>
          </c:val>
          <c:extLst>
            <c:ext xmlns:c16="http://schemas.microsoft.com/office/drawing/2014/chart" uri="{C3380CC4-5D6E-409C-BE32-E72D297353CC}">
              <c16:uniqueId val="{00000011-5C58-49B7-BF96-7699AC41EC11}"/>
            </c:ext>
          </c:extLst>
        </c:ser>
        <c:ser>
          <c:idx val="3"/>
          <c:order val="3"/>
          <c:tx>
            <c:strRef>
              <c:f>SAISIE!$C$136</c:f>
              <c:strCache>
                <c:ptCount val="1"/>
                <c:pt idx="0">
                  <c:v>Irrigation (redevance+énergie)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SAISIE!$H$136:$J$136</c:f>
              <c:numCache>
                <c:formatCode>0</c:formatCode>
                <c:ptCount val="3"/>
                <c:pt idx="0">
                  <c:v>0</c:v>
                </c:pt>
                <c:pt idx="1">
                  <c:v>0</c:v>
                </c:pt>
                <c:pt idx="2">
                  <c:v>0</c:v>
                </c:pt>
              </c:numCache>
            </c:numRef>
          </c:val>
          <c:extLst>
            <c:ext xmlns:c16="http://schemas.microsoft.com/office/drawing/2014/chart" uri="{C3380CC4-5D6E-409C-BE32-E72D297353CC}">
              <c16:uniqueId val="{00000012-5C58-49B7-BF96-7699AC41EC11}"/>
            </c:ext>
          </c:extLst>
        </c:ser>
        <c:ser>
          <c:idx val="4"/>
          <c:order val="4"/>
          <c:tx>
            <c:strRef>
              <c:f>SAISIE!$C$137</c:f>
              <c:strCache>
                <c:ptCount val="1"/>
                <c:pt idx="0">
                  <c:v>Autres intrants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SAISIE!$H$137:$J$137</c:f>
              <c:numCache>
                <c:formatCode>0</c:formatCode>
                <c:ptCount val="3"/>
                <c:pt idx="0">
                  <c:v>0</c:v>
                </c:pt>
                <c:pt idx="1">
                  <c:v>0</c:v>
                </c:pt>
                <c:pt idx="2">
                  <c:v>0</c:v>
                </c:pt>
              </c:numCache>
            </c:numRef>
          </c:val>
          <c:extLst>
            <c:ext xmlns:c16="http://schemas.microsoft.com/office/drawing/2014/chart" uri="{C3380CC4-5D6E-409C-BE32-E72D297353CC}">
              <c16:uniqueId val="{00000013-5C58-49B7-BF96-7699AC41EC11}"/>
            </c:ext>
          </c:extLst>
        </c:ser>
        <c:ser>
          <c:idx val="5"/>
          <c:order val="5"/>
          <c:tx>
            <c:strRef>
              <c:f>SAISIE!$C$138</c:f>
              <c:strCache>
                <c:ptCount val="1"/>
                <c:pt idx="0">
                  <c:v>Séchage</c:v>
                </c:pt>
              </c:strCache>
            </c:strRef>
          </c:tx>
          <c:spPr>
            <a:solidFill>
              <a:srgbClr val="CC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SAISIE!$H$138:$J$138</c:f>
              <c:numCache>
                <c:formatCode>0</c:formatCode>
                <c:ptCount val="3"/>
                <c:pt idx="0">
                  <c:v>0</c:v>
                </c:pt>
                <c:pt idx="1">
                  <c:v>0</c:v>
                </c:pt>
                <c:pt idx="2">
                  <c:v>0</c:v>
                </c:pt>
              </c:numCache>
            </c:numRef>
          </c:val>
          <c:extLst>
            <c:ext xmlns:c16="http://schemas.microsoft.com/office/drawing/2014/chart" uri="{C3380CC4-5D6E-409C-BE32-E72D297353CC}">
              <c16:uniqueId val="{00000014-5C58-49B7-BF96-7699AC41EC11}"/>
            </c:ext>
          </c:extLst>
        </c:ser>
        <c:ser>
          <c:idx val="6"/>
          <c:order val="6"/>
          <c:tx>
            <c:strRef>
              <c:f>SAISIE!$C$139</c:f>
              <c:strCache>
                <c:ptCount val="1"/>
                <c:pt idx="0">
                  <c:v>Stockage (énergie)</c:v>
                </c:pt>
              </c:strCache>
            </c:strRef>
          </c:tx>
          <c:spPr>
            <a:solidFill>
              <a:srgbClr val="F79646">
                <a:lumMod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SAISIE!$H$139:$J$139</c:f>
              <c:numCache>
                <c:formatCode>0</c:formatCode>
                <c:ptCount val="3"/>
                <c:pt idx="0">
                  <c:v>0</c:v>
                </c:pt>
                <c:pt idx="1">
                  <c:v>0</c:v>
                </c:pt>
                <c:pt idx="2">
                  <c:v>0</c:v>
                </c:pt>
              </c:numCache>
            </c:numRef>
          </c:val>
          <c:extLst>
            <c:ext xmlns:c16="http://schemas.microsoft.com/office/drawing/2014/chart" uri="{C3380CC4-5D6E-409C-BE32-E72D297353CC}">
              <c16:uniqueId val="{00000015-5C58-49B7-BF96-7699AC41EC11}"/>
            </c:ext>
          </c:extLst>
        </c:ser>
        <c:ser>
          <c:idx val="7"/>
          <c:order val="7"/>
          <c:tx>
            <c:strRef>
              <c:f>SAISIE!$C$140</c:f>
              <c:strCache>
                <c:ptCount val="1"/>
                <c:pt idx="0">
                  <c:v>Carburant</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SAISIE!$H$140:$J$140</c:f>
              <c:numCache>
                <c:formatCode>0</c:formatCode>
                <c:ptCount val="3"/>
                <c:pt idx="0">
                  <c:v>0</c:v>
                </c:pt>
                <c:pt idx="1">
                  <c:v>0</c:v>
                </c:pt>
                <c:pt idx="2">
                  <c:v>0</c:v>
                </c:pt>
              </c:numCache>
            </c:numRef>
          </c:val>
          <c:extLst>
            <c:ext xmlns:c16="http://schemas.microsoft.com/office/drawing/2014/chart" uri="{C3380CC4-5D6E-409C-BE32-E72D297353CC}">
              <c16:uniqueId val="{00000016-5C58-49B7-BF96-7699AC41EC11}"/>
            </c:ext>
          </c:extLst>
        </c:ser>
        <c:ser>
          <c:idx val="8"/>
          <c:order val="8"/>
          <c:tx>
            <c:strRef>
              <c:f>SAISIE!$C$141</c:f>
              <c:strCache>
                <c:ptCount val="1"/>
                <c:pt idx="0">
                  <c:v>Entretien-réparation</c:v>
                </c:pt>
              </c:strCache>
            </c:strRef>
          </c:tx>
          <c:spPr>
            <a:solidFill>
              <a:srgbClr val="CC00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SAISIE!$H$141:$J$141</c:f>
              <c:numCache>
                <c:formatCode>0</c:formatCode>
                <c:ptCount val="3"/>
                <c:pt idx="0">
                  <c:v>0</c:v>
                </c:pt>
                <c:pt idx="1">
                  <c:v>0</c:v>
                </c:pt>
                <c:pt idx="2">
                  <c:v>0</c:v>
                </c:pt>
              </c:numCache>
            </c:numRef>
          </c:val>
          <c:extLst>
            <c:ext xmlns:c16="http://schemas.microsoft.com/office/drawing/2014/chart" uri="{C3380CC4-5D6E-409C-BE32-E72D297353CC}">
              <c16:uniqueId val="{00000017-5C58-49B7-BF96-7699AC41EC11}"/>
            </c:ext>
          </c:extLst>
        </c:ser>
        <c:ser>
          <c:idx val="9"/>
          <c:order val="9"/>
          <c:tx>
            <c:strRef>
              <c:f>SAISIE!$C$142</c:f>
              <c:strCache>
                <c:ptCount val="1"/>
                <c:pt idx="0">
                  <c:v>Travaux par tiers</c:v>
                </c:pt>
              </c:strCache>
            </c:strRef>
          </c:tx>
          <c:spPr>
            <a:solidFill>
              <a:srgbClr val="F79646">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SAISIE!$H$142:$J$142</c:f>
              <c:numCache>
                <c:formatCode>0</c:formatCode>
                <c:ptCount val="3"/>
                <c:pt idx="0">
                  <c:v>0</c:v>
                </c:pt>
                <c:pt idx="1">
                  <c:v>0</c:v>
                </c:pt>
                <c:pt idx="2">
                  <c:v>0</c:v>
                </c:pt>
              </c:numCache>
            </c:numRef>
          </c:val>
          <c:extLst>
            <c:ext xmlns:c16="http://schemas.microsoft.com/office/drawing/2014/chart" uri="{C3380CC4-5D6E-409C-BE32-E72D297353CC}">
              <c16:uniqueId val="{00000018-5C58-49B7-BF96-7699AC41EC11}"/>
            </c:ext>
          </c:extLst>
        </c:ser>
        <c:ser>
          <c:idx val="10"/>
          <c:order val="10"/>
          <c:tx>
            <c:strRef>
              <c:f>SAISIE!$C$143</c:f>
              <c:strCache>
                <c:ptCount val="1"/>
                <c:pt idx="0">
                  <c:v>Autres charges (1)</c:v>
                </c:pt>
              </c:strCache>
            </c:strRef>
          </c:tx>
          <c:spPr>
            <a:solidFill>
              <a:sysClr val="window" lastClr="FFFFFF">
                <a:lumMod val="6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SAISIE!$H$143:$J$143</c:f>
              <c:numCache>
                <c:formatCode>0</c:formatCode>
                <c:ptCount val="3"/>
                <c:pt idx="0">
                  <c:v>0</c:v>
                </c:pt>
                <c:pt idx="1">
                  <c:v>0</c:v>
                </c:pt>
                <c:pt idx="2">
                  <c:v>0</c:v>
                </c:pt>
              </c:numCache>
            </c:numRef>
          </c:val>
          <c:extLst>
            <c:ext xmlns:c16="http://schemas.microsoft.com/office/drawing/2014/chart" uri="{C3380CC4-5D6E-409C-BE32-E72D297353CC}">
              <c16:uniqueId val="{00000019-5C58-49B7-BF96-7699AC41EC11}"/>
            </c:ext>
          </c:extLst>
        </c:ser>
        <c:ser>
          <c:idx val="11"/>
          <c:order val="11"/>
          <c:tx>
            <c:strRef>
              <c:f>SAISIE!$C$144</c:f>
              <c:strCache>
                <c:ptCount val="1"/>
                <c:pt idx="0">
                  <c:v>Rémunération de la MO familiale</c:v>
                </c:pt>
              </c:strCache>
            </c:strRef>
          </c:tx>
          <c:spPr>
            <a:solidFill>
              <a:srgbClr val="4BACC6">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SAISIE!$H$128:$J$128</c:f>
            </c:multiLvlStrRef>
          </c:cat>
          <c:val>
            <c:numRef>
              <c:f>SAISIE!$H$144:$J$144</c:f>
              <c:numCache>
                <c:formatCode>0</c:formatCode>
                <c:ptCount val="3"/>
                <c:pt idx="0">
                  <c:v>0</c:v>
                </c:pt>
                <c:pt idx="1">
                  <c:v>0</c:v>
                </c:pt>
                <c:pt idx="2">
                  <c:v>0</c:v>
                </c:pt>
              </c:numCache>
            </c:numRef>
          </c:val>
          <c:extLst>
            <c:ext xmlns:c16="http://schemas.microsoft.com/office/drawing/2014/chart" uri="{C3380CC4-5D6E-409C-BE32-E72D297353CC}">
              <c16:uniqueId val="{0000001A-5C58-49B7-BF96-7699AC41EC11}"/>
            </c:ext>
          </c:extLst>
        </c:ser>
        <c:dLbls>
          <c:showLegendKey val="0"/>
          <c:showVal val="0"/>
          <c:showCatName val="0"/>
          <c:showSerName val="0"/>
          <c:showPercent val="0"/>
          <c:showBubbleSize val="0"/>
        </c:dLbls>
        <c:gapWidth val="30"/>
        <c:overlap val="100"/>
        <c:axId val="626189608"/>
        <c:axId val="626191904"/>
      </c:barChart>
      <c:catAx>
        <c:axId val="626189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626191904"/>
        <c:crosses val="autoZero"/>
        <c:auto val="1"/>
        <c:lblAlgn val="ctr"/>
        <c:lblOffset val="100"/>
        <c:noMultiLvlLbl val="0"/>
      </c:catAx>
      <c:valAx>
        <c:axId val="626191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626189608"/>
        <c:crosses val="autoZero"/>
        <c:crossBetween val="between"/>
      </c:valAx>
      <c:spPr>
        <a:noFill/>
        <a:ln>
          <a:noFill/>
        </a:ln>
        <a:effectLst/>
      </c:spPr>
    </c:plotArea>
    <c:plotVisOnly val="0"/>
    <c:dispBlanksAs val="gap"/>
    <c:showDLblsOverMax val="0"/>
    <c:extLst/>
  </c:chart>
  <c:spPr>
    <a:noFill/>
    <a:ln w="9525" cap="flat" cmpd="sng" algn="ctr">
      <a:solidFill>
        <a:schemeClr val="bg1">
          <a:lumMod val="65000"/>
        </a:schemeClr>
      </a:solidFill>
      <a:round/>
    </a:ln>
    <a:effectLst/>
  </c:spPr>
  <c:txPr>
    <a:bodyPr/>
    <a:lstStyle/>
    <a:p>
      <a:pPr>
        <a:defRPr/>
      </a:pPr>
      <a:endParaRPr lang="fr-FR"/>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287967617233384"/>
          <c:y val="0.12308657233684535"/>
          <c:w val="0.82559168763698354"/>
          <c:h val="0.66750589834368312"/>
        </c:manualLayout>
      </c:layout>
      <c:barChart>
        <c:barDir val="col"/>
        <c:grouping val="clustered"/>
        <c:varyColors val="0"/>
        <c:ser>
          <c:idx val="6"/>
          <c:order val="0"/>
          <c:tx>
            <c:strRef>
              <c:f>SAISIE!$D$186</c:f>
              <c:strCache>
                <c:ptCount val="1"/>
                <c:pt idx="0">
                  <c:v>Rdt moyen</c:v>
                </c:pt>
              </c:strCache>
            </c:strRef>
          </c:tx>
          <c:spPr>
            <a:solidFill>
              <a:schemeClr val="accent1">
                <a:lumMod val="60000"/>
              </a:schemeClr>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SAISIE!$E$185:$G$185</c:f>
              <c:numCache>
                <c:formatCode>General</c:formatCode>
                <c:ptCount val="3"/>
                <c:pt idx="0">
                  <c:v>0</c:v>
                </c:pt>
                <c:pt idx="1">
                  <c:v>0</c:v>
                </c:pt>
                <c:pt idx="2">
                  <c:v>0</c:v>
                </c:pt>
              </c:numCache>
            </c:numRef>
          </c:cat>
          <c:val>
            <c:numRef>
              <c:f>SAISIE!$E$186:$G$186</c:f>
              <c:numCache>
                <c:formatCode>0</c:formatCode>
                <c:ptCount val="3"/>
                <c:pt idx="0">
                  <c:v>0</c:v>
                </c:pt>
                <c:pt idx="1">
                  <c:v>0</c:v>
                </c:pt>
                <c:pt idx="2">
                  <c:v>0</c:v>
                </c:pt>
              </c:numCache>
            </c:numRef>
          </c:val>
          <c:extLst>
            <c:ext xmlns:c16="http://schemas.microsoft.com/office/drawing/2014/chart" uri="{C3380CC4-5D6E-409C-BE32-E72D297353CC}">
              <c16:uniqueId val="{00000000-3BD7-4FE0-BF4A-62741AB1B938}"/>
            </c:ext>
          </c:extLst>
        </c:ser>
        <c:dLbls>
          <c:showLegendKey val="0"/>
          <c:showVal val="0"/>
          <c:showCatName val="0"/>
          <c:showSerName val="0"/>
          <c:showPercent val="0"/>
          <c:showBubbleSize val="0"/>
        </c:dLbls>
        <c:gapWidth val="100"/>
        <c:axId val="542265592"/>
        <c:axId val="542262640"/>
      </c:barChart>
      <c:lineChart>
        <c:grouping val="standard"/>
        <c:varyColors val="0"/>
        <c:ser>
          <c:idx val="8"/>
          <c:order val="1"/>
          <c:tx>
            <c:strRef>
              <c:f>SAISIE!$D$187</c:f>
              <c:strCache>
                <c:ptCount val="1"/>
                <c:pt idx="0">
                  <c:v>Rdt min</c:v>
                </c:pt>
              </c:strCache>
            </c:strRef>
          </c:tx>
          <c:spPr>
            <a:ln w="28575" cap="rnd">
              <a:noFill/>
              <a:round/>
            </a:ln>
            <a:effectLst/>
          </c:spPr>
          <c:marker>
            <c:symbol val="square"/>
            <c:size val="10"/>
            <c:spPr>
              <a:solidFill>
                <a:srgbClr val="FF0000"/>
              </a:solidFill>
              <a:ln w="9525">
                <a:solidFill>
                  <a:srgbClr val="FF0000"/>
                </a:solidFill>
              </a:ln>
              <a:effectLst/>
            </c:spPr>
          </c:marker>
          <c:dLbls>
            <c:spPr>
              <a:solidFill>
                <a:schemeClr val="bg1"/>
              </a:solidFill>
              <a:ln w="25400">
                <a:solidFill>
                  <a:srgbClr val="FF0000"/>
                </a:solid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SAISIE!$E$185:$G$185</c:f>
              <c:numCache>
                <c:formatCode>General</c:formatCode>
                <c:ptCount val="3"/>
                <c:pt idx="0">
                  <c:v>0</c:v>
                </c:pt>
                <c:pt idx="1">
                  <c:v>0</c:v>
                </c:pt>
                <c:pt idx="2">
                  <c:v>0</c:v>
                </c:pt>
              </c:numCache>
            </c:numRef>
          </c:cat>
          <c:val>
            <c:numRef>
              <c:f>SAISIE!$E$187:$G$187</c:f>
              <c:numCache>
                <c:formatCode>0</c:formatCode>
                <c:ptCount val="3"/>
                <c:pt idx="0">
                  <c:v>0</c:v>
                </c:pt>
                <c:pt idx="1">
                  <c:v>0</c:v>
                </c:pt>
                <c:pt idx="2">
                  <c:v>0</c:v>
                </c:pt>
              </c:numCache>
            </c:numRef>
          </c:val>
          <c:smooth val="0"/>
          <c:extLst>
            <c:ext xmlns:c16="http://schemas.microsoft.com/office/drawing/2014/chart" uri="{C3380CC4-5D6E-409C-BE32-E72D297353CC}">
              <c16:uniqueId val="{00000001-3BD7-4FE0-BF4A-62741AB1B938}"/>
            </c:ext>
          </c:extLst>
        </c:ser>
        <c:ser>
          <c:idx val="10"/>
          <c:order val="2"/>
          <c:tx>
            <c:strRef>
              <c:f>SAISIE!$D$188</c:f>
              <c:strCache>
                <c:ptCount val="1"/>
                <c:pt idx="0">
                  <c:v>Rdt max</c:v>
                </c:pt>
              </c:strCache>
            </c:strRef>
          </c:tx>
          <c:spPr>
            <a:ln w="28575" cap="rnd">
              <a:noFill/>
              <a:round/>
            </a:ln>
            <a:effectLst/>
          </c:spPr>
          <c:marker>
            <c:symbol val="circle"/>
            <c:size val="10"/>
            <c:spPr>
              <a:solidFill>
                <a:srgbClr val="92D050"/>
              </a:solidFill>
              <a:ln w="9525">
                <a:solidFill>
                  <a:srgbClr val="92D050"/>
                </a:solidFill>
              </a:ln>
              <a:effectLst/>
            </c:spPr>
          </c:marker>
          <c:dLbls>
            <c:spPr>
              <a:solidFill>
                <a:schemeClr val="bg1"/>
              </a:solidFill>
              <a:ln w="25400">
                <a:solidFill>
                  <a:srgbClr val="92D050"/>
                </a:solid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SAISIE!$E$185:$G$185</c:f>
              <c:numCache>
                <c:formatCode>General</c:formatCode>
                <c:ptCount val="3"/>
                <c:pt idx="0">
                  <c:v>0</c:v>
                </c:pt>
                <c:pt idx="1">
                  <c:v>0</c:v>
                </c:pt>
                <c:pt idx="2">
                  <c:v>0</c:v>
                </c:pt>
              </c:numCache>
            </c:numRef>
          </c:cat>
          <c:val>
            <c:numRef>
              <c:f>SAISIE!$E$188:$G$188</c:f>
              <c:numCache>
                <c:formatCode>0</c:formatCode>
                <c:ptCount val="3"/>
                <c:pt idx="0">
                  <c:v>0</c:v>
                </c:pt>
                <c:pt idx="1">
                  <c:v>0</c:v>
                </c:pt>
                <c:pt idx="2">
                  <c:v>0</c:v>
                </c:pt>
              </c:numCache>
            </c:numRef>
          </c:val>
          <c:smooth val="0"/>
          <c:extLst>
            <c:ext xmlns:c16="http://schemas.microsoft.com/office/drawing/2014/chart" uri="{C3380CC4-5D6E-409C-BE32-E72D297353CC}">
              <c16:uniqueId val="{00000002-3BD7-4FE0-BF4A-62741AB1B938}"/>
            </c:ext>
          </c:extLst>
        </c:ser>
        <c:ser>
          <c:idx val="0"/>
          <c:order val="3"/>
          <c:tx>
            <c:strRef>
              <c:f>SAISIE!$D$189</c:f>
              <c:strCache>
                <c:ptCount val="1"/>
              </c:strCache>
            </c:strRef>
          </c:tx>
          <c:spPr>
            <a:ln w="25400" cap="rnd">
              <a:noFill/>
              <a:round/>
            </a:ln>
            <a:effectLst/>
          </c:spPr>
          <c:marker>
            <c:symbol val="circle"/>
            <c:size val="5"/>
            <c:spPr>
              <a:noFill/>
              <a:ln w="9525">
                <a:noFill/>
              </a:ln>
              <a:effectLst/>
            </c:spPr>
          </c:marker>
          <c:cat>
            <c:numRef>
              <c:f>SAISIE!$E$185:$G$185</c:f>
              <c:numCache>
                <c:formatCode>General</c:formatCode>
                <c:ptCount val="3"/>
                <c:pt idx="0">
                  <c:v>0</c:v>
                </c:pt>
                <c:pt idx="1">
                  <c:v>0</c:v>
                </c:pt>
                <c:pt idx="2">
                  <c:v>0</c:v>
                </c:pt>
              </c:numCache>
            </c:numRef>
          </c:cat>
          <c:val>
            <c:numRef>
              <c:f>SAISIE!$E$189:$G$189</c:f>
              <c:numCache>
                <c:formatCode>0</c:formatCode>
                <c:ptCount val="3"/>
                <c:pt idx="0">
                  <c:v>0</c:v>
                </c:pt>
                <c:pt idx="1">
                  <c:v>0</c:v>
                </c:pt>
                <c:pt idx="2">
                  <c:v>0</c:v>
                </c:pt>
              </c:numCache>
            </c:numRef>
          </c:val>
          <c:smooth val="0"/>
          <c:extLst>
            <c:ext xmlns:c16="http://schemas.microsoft.com/office/drawing/2014/chart" uri="{C3380CC4-5D6E-409C-BE32-E72D297353CC}">
              <c16:uniqueId val="{00000003-3BD7-4FE0-BF4A-62741AB1B938}"/>
            </c:ext>
          </c:extLst>
        </c:ser>
        <c:dLbls>
          <c:showLegendKey val="0"/>
          <c:showVal val="0"/>
          <c:showCatName val="0"/>
          <c:showSerName val="0"/>
          <c:showPercent val="0"/>
          <c:showBubbleSize val="0"/>
        </c:dLbls>
        <c:marker val="1"/>
        <c:smooth val="0"/>
        <c:axId val="542265592"/>
        <c:axId val="542262640"/>
      </c:lineChart>
      <c:catAx>
        <c:axId val="542265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542262640"/>
        <c:crosses val="autoZero"/>
        <c:auto val="1"/>
        <c:lblAlgn val="ctr"/>
        <c:lblOffset val="100"/>
        <c:noMultiLvlLbl val="0"/>
      </c:catAx>
      <c:valAx>
        <c:axId val="542262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542265592"/>
        <c:crosses val="autoZero"/>
        <c:crossBetween val="between"/>
      </c:valAx>
      <c:spPr>
        <a:noFill/>
        <a:ln>
          <a:noFill/>
        </a:ln>
        <a:effectLst/>
      </c:spPr>
    </c:plotArea>
    <c:plotVisOnly val="0"/>
    <c:dispBlanksAs val="gap"/>
    <c:showDLblsOverMax val="0"/>
    <c:extLst/>
  </c:chart>
  <c:spPr>
    <a:noFill/>
    <a:ln w="9525" cap="flat" cmpd="sng" algn="ctr">
      <a:solidFill>
        <a:sysClr val="window" lastClr="FFFFFF">
          <a:lumMod val="65000"/>
        </a:sysClr>
      </a:solidFill>
      <a:round/>
    </a:ln>
    <a:effectLst/>
  </c:spPr>
  <c:txPr>
    <a:bodyPr/>
    <a:lstStyle/>
    <a:p>
      <a:pPr>
        <a:defRPr/>
      </a:pPr>
      <a:endParaRPr lang="fr-FR"/>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4455380577428"/>
          <c:y val="0.12596593190431768"/>
          <c:w val="0.82146801181102358"/>
          <c:h val="0.66566176691283074"/>
        </c:manualLayout>
      </c:layout>
      <c:barChart>
        <c:barDir val="col"/>
        <c:grouping val="clustered"/>
        <c:varyColors val="0"/>
        <c:ser>
          <c:idx val="6"/>
          <c:order val="0"/>
          <c:tx>
            <c:strRef>
              <c:f>SAISIE!$D$192</c:f>
              <c:strCache>
                <c:ptCount val="1"/>
                <c:pt idx="0">
                  <c:v>Rdt moyen</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SAISIE!$E$191:$G$191</c:f>
              <c:numCache>
                <c:formatCode>General</c:formatCode>
                <c:ptCount val="3"/>
                <c:pt idx="0">
                  <c:v>0</c:v>
                </c:pt>
                <c:pt idx="1">
                  <c:v>0</c:v>
                </c:pt>
                <c:pt idx="2">
                  <c:v>0</c:v>
                </c:pt>
              </c:numCache>
            </c:numRef>
          </c:cat>
          <c:val>
            <c:numRef>
              <c:f>SAISIE!$E$192:$G$192</c:f>
              <c:numCache>
                <c:formatCode>0</c:formatCode>
                <c:ptCount val="3"/>
                <c:pt idx="0">
                  <c:v>0</c:v>
                </c:pt>
                <c:pt idx="1">
                  <c:v>0</c:v>
                </c:pt>
                <c:pt idx="2">
                  <c:v>0</c:v>
                </c:pt>
              </c:numCache>
            </c:numRef>
          </c:val>
          <c:extLst>
            <c:ext xmlns:c16="http://schemas.microsoft.com/office/drawing/2014/chart" uri="{C3380CC4-5D6E-409C-BE32-E72D297353CC}">
              <c16:uniqueId val="{00000000-5CDC-4F95-89FD-9A46B396F731}"/>
            </c:ext>
          </c:extLst>
        </c:ser>
        <c:dLbls>
          <c:showLegendKey val="0"/>
          <c:showVal val="0"/>
          <c:showCatName val="0"/>
          <c:showSerName val="0"/>
          <c:showPercent val="0"/>
          <c:showBubbleSize val="0"/>
        </c:dLbls>
        <c:gapWidth val="100"/>
        <c:axId val="542265592"/>
        <c:axId val="542262640"/>
      </c:barChart>
      <c:lineChart>
        <c:grouping val="standard"/>
        <c:varyColors val="0"/>
        <c:ser>
          <c:idx val="8"/>
          <c:order val="1"/>
          <c:tx>
            <c:strRef>
              <c:f>SAISIE!$D$193</c:f>
              <c:strCache>
                <c:ptCount val="1"/>
                <c:pt idx="0">
                  <c:v>Rdt min</c:v>
                </c:pt>
              </c:strCache>
            </c:strRef>
          </c:tx>
          <c:spPr>
            <a:ln w="28575" cap="rnd">
              <a:noFill/>
              <a:round/>
            </a:ln>
            <a:effectLst/>
          </c:spPr>
          <c:marker>
            <c:symbol val="square"/>
            <c:size val="10"/>
            <c:spPr>
              <a:solidFill>
                <a:srgbClr val="FF0000"/>
              </a:solidFill>
              <a:ln w="9525">
                <a:solidFill>
                  <a:srgbClr val="FF0000"/>
                </a:solidFill>
              </a:ln>
              <a:effectLst/>
            </c:spPr>
          </c:marker>
          <c:dLbls>
            <c:spPr>
              <a:solidFill>
                <a:schemeClr val="bg1"/>
              </a:solidFill>
              <a:ln w="25400">
                <a:solidFill>
                  <a:srgbClr val="FF0000"/>
                </a:solid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SAISIE!$E$191:$G$191</c:f>
              <c:numCache>
                <c:formatCode>General</c:formatCode>
                <c:ptCount val="3"/>
                <c:pt idx="0">
                  <c:v>0</c:v>
                </c:pt>
                <c:pt idx="1">
                  <c:v>0</c:v>
                </c:pt>
                <c:pt idx="2">
                  <c:v>0</c:v>
                </c:pt>
              </c:numCache>
            </c:numRef>
          </c:cat>
          <c:val>
            <c:numRef>
              <c:f>SAISIE!$E$193:$G$193</c:f>
              <c:numCache>
                <c:formatCode>0</c:formatCode>
                <c:ptCount val="3"/>
                <c:pt idx="0">
                  <c:v>0</c:v>
                </c:pt>
                <c:pt idx="1">
                  <c:v>0</c:v>
                </c:pt>
                <c:pt idx="2">
                  <c:v>0</c:v>
                </c:pt>
              </c:numCache>
            </c:numRef>
          </c:val>
          <c:smooth val="0"/>
          <c:extLst>
            <c:ext xmlns:c16="http://schemas.microsoft.com/office/drawing/2014/chart" uri="{C3380CC4-5D6E-409C-BE32-E72D297353CC}">
              <c16:uniqueId val="{00000001-5CDC-4F95-89FD-9A46B396F731}"/>
            </c:ext>
          </c:extLst>
        </c:ser>
        <c:ser>
          <c:idx val="10"/>
          <c:order val="2"/>
          <c:tx>
            <c:strRef>
              <c:f>SAISIE!$D$194</c:f>
              <c:strCache>
                <c:ptCount val="1"/>
                <c:pt idx="0">
                  <c:v>Rdt max</c:v>
                </c:pt>
              </c:strCache>
            </c:strRef>
          </c:tx>
          <c:spPr>
            <a:ln w="28575" cap="rnd">
              <a:noFill/>
              <a:round/>
            </a:ln>
            <a:effectLst/>
          </c:spPr>
          <c:marker>
            <c:symbol val="circle"/>
            <c:size val="10"/>
            <c:spPr>
              <a:solidFill>
                <a:srgbClr val="92D050"/>
              </a:solidFill>
              <a:ln w="9525">
                <a:solidFill>
                  <a:srgbClr val="92D050"/>
                </a:solidFill>
              </a:ln>
              <a:effectLst/>
            </c:spPr>
          </c:marker>
          <c:dLbls>
            <c:spPr>
              <a:solidFill>
                <a:schemeClr val="bg1"/>
              </a:solidFill>
              <a:ln w="25400">
                <a:solidFill>
                  <a:srgbClr val="92D050"/>
                </a:solid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SAISIE!$E$191:$G$191</c:f>
              <c:numCache>
                <c:formatCode>General</c:formatCode>
                <c:ptCount val="3"/>
                <c:pt idx="0">
                  <c:v>0</c:v>
                </c:pt>
                <c:pt idx="1">
                  <c:v>0</c:v>
                </c:pt>
                <c:pt idx="2">
                  <c:v>0</c:v>
                </c:pt>
              </c:numCache>
            </c:numRef>
          </c:cat>
          <c:val>
            <c:numRef>
              <c:f>SAISIE!$E$194:$G$194</c:f>
              <c:numCache>
                <c:formatCode>0</c:formatCode>
                <c:ptCount val="3"/>
                <c:pt idx="0">
                  <c:v>0</c:v>
                </c:pt>
                <c:pt idx="1">
                  <c:v>0</c:v>
                </c:pt>
                <c:pt idx="2">
                  <c:v>0</c:v>
                </c:pt>
              </c:numCache>
            </c:numRef>
          </c:val>
          <c:smooth val="0"/>
          <c:extLst>
            <c:ext xmlns:c16="http://schemas.microsoft.com/office/drawing/2014/chart" uri="{C3380CC4-5D6E-409C-BE32-E72D297353CC}">
              <c16:uniqueId val="{00000002-5CDC-4F95-89FD-9A46B396F731}"/>
            </c:ext>
          </c:extLst>
        </c:ser>
        <c:ser>
          <c:idx val="0"/>
          <c:order val="3"/>
          <c:tx>
            <c:strRef>
              <c:f>SAISIE!$D$195</c:f>
              <c:strCache>
                <c:ptCount val="1"/>
              </c:strCache>
            </c:strRef>
          </c:tx>
          <c:spPr>
            <a:ln w="25400" cap="rnd">
              <a:noFill/>
              <a:round/>
            </a:ln>
            <a:effectLst/>
          </c:spPr>
          <c:marker>
            <c:symbol val="circle"/>
            <c:size val="5"/>
            <c:spPr>
              <a:noFill/>
              <a:ln w="9525">
                <a:noFill/>
              </a:ln>
              <a:effectLst/>
            </c:spPr>
          </c:marker>
          <c:cat>
            <c:numRef>
              <c:f>SAISIE!$E$191:$G$191</c:f>
              <c:numCache>
                <c:formatCode>General</c:formatCode>
                <c:ptCount val="3"/>
                <c:pt idx="0">
                  <c:v>0</c:v>
                </c:pt>
                <c:pt idx="1">
                  <c:v>0</c:v>
                </c:pt>
                <c:pt idx="2">
                  <c:v>0</c:v>
                </c:pt>
              </c:numCache>
            </c:numRef>
          </c:cat>
          <c:val>
            <c:numRef>
              <c:f>SAISIE!$E$195:$G$195</c:f>
              <c:numCache>
                <c:formatCode>0</c:formatCode>
                <c:ptCount val="3"/>
                <c:pt idx="0">
                  <c:v>0</c:v>
                </c:pt>
                <c:pt idx="1">
                  <c:v>0</c:v>
                </c:pt>
                <c:pt idx="2">
                  <c:v>0</c:v>
                </c:pt>
              </c:numCache>
            </c:numRef>
          </c:val>
          <c:smooth val="0"/>
          <c:extLst>
            <c:ext xmlns:c16="http://schemas.microsoft.com/office/drawing/2014/chart" uri="{C3380CC4-5D6E-409C-BE32-E72D297353CC}">
              <c16:uniqueId val="{00000003-5CDC-4F95-89FD-9A46B396F731}"/>
            </c:ext>
          </c:extLst>
        </c:ser>
        <c:dLbls>
          <c:showLegendKey val="0"/>
          <c:showVal val="0"/>
          <c:showCatName val="0"/>
          <c:showSerName val="0"/>
          <c:showPercent val="0"/>
          <c:showBubbleSize val="0"/>
        </c:dLbls>
        <c:marker val="1"/>
        <c:smooth val="0"/>
        <c:axId val="542265592"/>
        <c:axId val="542262640"/>
      </c:lineChart>
      <c:catAx>
        <c:axId val="542265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542262640"/>
        <c:crosses val="autoZero"/>
        <c:auto val="1"/>
        <c:lblAlgn val="ctr"/>
        <c:lblOffset val="100"/>
        <c:noMultiLvlLbl val="0"/>
      </c:catAx>
      <c:valAx>
        <c:axId val="542262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crossAx val="542265592"/>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bg1">
          <a:lumMod val="6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2.jpeg"/><Relationship Id="rId4" Type="http://schemas.openxmlformats.org/officeDocument/2006/relationships/image" Target="../media/image14.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image" Target="../media/image14.jpeg"/><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image" Target="../media/image14.jpeg"/><Relationship Id="rId5" Type="http://schemas.openxmlformats.org/officeDocument/2006/relationships/image" Target="../media/image10.png"/><Relationship Id="rId4" Type="http://schemas.openxmlformats.org/officeDocument/2006/relationships/image" Target="../media/image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image" Target="../media/image14.jpeg"/><Relationship Id="rId5" Type="http://schemas.openxmlformats.org/officeDocument/2006/relationships/image" Target="../media/image10.png"/><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2.jpeg"/><Relationship Id="rId4" Type="http://schemas.openxmlformats.org/officeDocument/2006/relationships/image" Target="../media/image1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4.jpeg"/><Relationship Id="rId5" Type="http://schemas.openxmlformats.org/officeDocument/2006/relationships/chart" Target="../charts/chart5.xml"/><Relationship Id="rId10" Type="http://schemas.openxmlformats.org/officeDocument/2006/relationships/image" Target="../media/image10.png"/><Relationship Id="rId4" Type="http://schemas.openxmlformats.org/officeDocument/2006/relationships/chart" Target="../charts/chart4.xml"/><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1474</xdr:colOff>
      <xdr:row>84</xdr:row>
      <xdr:rowOff>182852</xdr:rowOff>
    </xdr:from>
    <xdr:to>
      <xdr:col>5</xdr:col>
      <xdr:colOff>484909</xdr:colOff>
      <xdr:row>112</xdr:row>
      <xdr:rowOff>136859</xdr:rowOff>
    </xdr:to>
    <xdr:grpSp>
      <xdr:nvGrpSpPr>
        <xdr:cNvPr id="76" name="Groupe 75">
          <a:extLst>
            <a:ext uri="{FF2B5EF4-FFF2-40B4-BE49-F238E27FC236}">
              <a16:creationId xmlns:a16="http://schemas.microsoft.com/office/drawing/2014/main" id="{AC4126CE-15CA-48B9-AFF5-C04FC8EE9575}"/>
            </a:ext>
          </a:extLst>
        </xdr:cNvPr>
        <xdr:cNvGrpSpPr/>
      </xdr:nvGrpSpPr>
      <xdr:grpSpPr>
        <a:xfrm>
          <a:off x="124739" y="17944176"/>
          <a:ext cx="3531435" cy="5288007"/>
          <a:chOff x="162839" y="18071296"/>
          <a:chExt cx="3560570" cy="5288007"/>
        </a:xfrm>
      </xdr:grpSpPr>
      <xdr:pic>
        <xdr:nvPicPr>
          <xdr:cNvPr id="118" name="Image 117">
            <a:extLst>
              <a:ext uri="{FF2B5EF4-FFF2-40B4-BE49-F238E27FC236}">
                <a16:creationId xmlns:a16="http://schemas.microsoft.com/office/drawing/2014/main" id="{BC03D6F8-3F25-4A5A-BF80-42672B0C4C64}"/>
              </a:ext>
            </a:extLst>
          </xdr:cNvPr>
          <xdr:cNvPicPr>
            <a:picLocks noChangeAspect="1"/>
          </xdr:cNvPicPr>
        </xdr:nvPicPr>
        <xdr:blipFill rotWithShape="1">
          <a:blip xmlns:r="http://schemas.openxmlformats.org/officeDocument/2006/relationships" r:embed="rId1"/>
          <a:srcRect l="78076" t="25367" r="11172" b="25421"/>
          <a:stretch/>
        </xdr:blipFill>
        <xdr:spPr>
          <a:xfrm>
            <a:off x="491687" y="19260545"/>
            <a:ext cx="2950920" cy="4098502"/>
          </a:xfrm>
          <a:prstGeom prst="rect">
            <a:avLst/>
          </a:prstGeom>
        </xdr:spPr>
      </xdr:pic>
      <xdr:grpSp>
        <xdr:nvGrpSpPr>
          <xdr:cNvPr id="46" name="Groupe 45">
            <a:extLst>
              <a:ext uri="{FF2B5EF4-FFF2-40B4-BE49-F238E27FC236}">
                <a16:creationId xmlns:a16="http://schemas.microsoft.com/office/drawing/2014/main" id="{126CE6D4-A2D2-4E57-8DFE-BFD50235BC6C}"/>
              </a:ext>
            </a:extLst>
          </xdr:cNvPr>
          <xdr:cNvGrpSpPr/>
        </xdr:nvGrpSpPr>
        <xdr:grpSpPr>
          <a:xfrm>
            <a:off x="162839" y="18071296"/>
            <a:ext cx="3560570" cy="5288007"/>
            <a:chOff x="128203" y="11876919"/>
            <a:chExt cx="3560570" cy="5288007"/>
          </a:xfrm>
        </xdr:grpSpPr>
        <xdr:sp macro="" textlink="">
          <xdr:nvSpPr>
            <xdr:cNvPr id="47" name="ZoneTexte 46">
              <a:extLst>
                <a:ext uri="{FF2B5EF4-FFF2-40B4-BE49-F238E27FC236}">
                  <a16:creationId xmlns:a16="http://schemas.microsoft.com/office/drawing/2014/main" id="{97671D96-848F-4803-ACCC-A49D4D09263B}"/>
                </a:ext>
              </a:extLst>
            </xdr:cNvPr>
            <xdr:cNvSpPr txBox="1"/>
          </xdr:nvSpPr>
          <xdr:spPr>
            <a:xfrm>
              <a:off x="242894" y="11979645"/>
              <a:ext cx="3445879" cy="5185281"/>
            </a:xfrm>
            <a:prstGeom prst="rect">
              <a:avLst/>
            </a:prstGeom>
            <a:noFill/>
            <a:ln w="63500" cmpd="thickThin">
              <a:solidFill>
                <a:srgbClr val="00B0F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buFont typeface="Arial" panose="020B0604020202020204" pitchFamily="34" charset="0"/>
                <a:buNone/>
              </a:pPr>
              <a:endParaRPr lang="fr-FR" sz="1100">
                <a:solidFill>
                  <a:schemeClr val="tx1"/>
                </a:solidFill>
                <a:effectLst/>
                <a:latin typeface="+mn-lt"/>
                <a:ea typeface="+mn-ea"/>
                <a:cs typeface="+mn-cs"/>
              </a:endParaRPr>
            </a:p>
            <a:p>
              <a:pPr marL="0" indent="0" algn="ctr">
                <a:buFont typeface="Arial" panose="020B0604020202020204" pitchFamily="34" charset="0"/>
                <a:buNone/>
              </a:pPr>
              <a:r>
                <a:rPr lang="fr-FR" sz="1100">
                  <a:solidFill>
                    <a:schemeClr val="tx1"/>
                  </a:solidFill>
                  <a:effectLst/>
                  <a:latin typeface="+mn-lt"/>
                  <a:ea typeface="+mn-ea"/>
                  <a:cs typeface="+mn-cs"/>
                </a:rPr>
                <a:t>               Une fois la </a:t>
              </a:r>
              <a:r>
                <a:rPr lang="fr-FR" sz="1100" b="1">
                  <a:solidFill>
                    <a:schemeClr val="tx1"/>
                  </a:solidFill>
                  <a:effectLst/>
                  <a:latin typeface="+mn-lt"/>
                  <a:ea typeface="+mn-ea"/>
                  <a:cs typeface="+mn-cs"/>
                </a:rPr>
                <a:t>SAISIE</a:t>
              </a:r>
              <a:r>
                <a:rPr lang="fr-FR" sz="1100">
                  <a:solidFill>
                    <a:schemeClr val="tx1"/>
                  </a:solidFill>
                  <a:effectLst/>
                  <a:latin typeface="+mn-lt"/>
                  <a:ea typeface="+mn-ea"/>
                  <a:cs typeface="+mn-cs"/>
                </a:rPr>
                <a:t> terminée et validée : </a:t>
              </a:r>
            </a:p>
            <a:p>
              <a:pPr marL="0" indent="0">
                <a:buFont typeface="Arial" panose="020B0604020202020204" pitchFamily="34" charset="0"/>
                <a:buNone/>
              </a:pPr>
              <a:endParaRPr lang="fr-FR" sz="1100">
                <a:solidFill>
                  <a:schemeClr val="tx1"/>
                </a:solidFill>
                <a:effectLst/>
                <a:latin typeface="+mn-lt"/>
                <a:ea typeface="+mn-ea"/>
                <a:cs typeface="+mn-cs"/>
              </a:endParaRPr>
            </a:p>
            <a:p>
              <a:pPr marL="0" indent="0">
                <a:buFont typeface="Arial" panose="020B0604020202020204" pitchFamily="34" charset="0"/>
                <a:buNone/>
              </a:pPr>
              <a:endParaRPr lang="fr-FR" sz="1100">
                <a:solidFill>
                  <a:schemeClr val="tx1"/>
                </a:solidFill>
                <a:effectLst/>
                <a:latin typeface="+mn-lt"/>
                <a:ea typeface="+mn-ea"/>
                <a:cs typeface="+mn-cs"/>
              </a:endParaRPr>
            </a:p>
            <a:p>
              <a:pPr marL="0" indent="0">
                <a:buFont typeface="Arial" panose="020B0604020202020204" pitchFamily="34" charset="0"/>
                <a:buNone/>
              </a:pPr>
              <a:endParaRPr lang="fr-FR" sz="1100">
                <a:solidFill>
                  <a:schemeClr val="tx1"/>
                </a:solidFill>
                <a:effectLst/>
                <a:latin typeface="+mn-lt"/>
                <a:ea typeface="+mn-ea"/>
                <a:cs typeface="+mn-cs"/>
              </a:endParaRPr>
            </a:p>
            <a:p>
              <a:pPr marL="0" indent="0" algn="ctr">
                <a:buFont typeface="Arial" panose="020B0604020202020204" pitchFamily="34" charset="0"/>
                <a:buNone/>
              </a:pPr>
              <a:r>
                <a:rPr lang="fr-FR" sz="1100">
                  <a:solidFill>
                    <a:schemeClr val="tx1"/>
                  </a:solidFill>
                  <a:effectLst/>
                  <a:latin typeface="+mn-lt"/>
                  <a:ea typeface="+mn-ea"/>
                  <a:cs typeface="+mn-cs"/>
                </a:rPr>
                <a:t>Vous</a:t>
              </a:r>
              <a:r>
                <a:rPr lang="fr-FR" sz="1100" baseline="0">
                  <a:solidFill>
                    <a:schemeClr val="tx1"/>
                  </a:solidFill>
                  <a:effectLst/>
                  <a:latin typeface="+mn-lt"/>
                  <a:ea typeface="+mn-ea"/>
                  <a:cs typeface="+mn-cs"/>
                </a:rPr>
                <a:t> voyez tout de suite le </a:t>
              </a:r>
              <a:r>
                <a:rPr lang="fr-FR" sz="1100" b="1" baseline="0">
                  <a:solidFill>
                    <a:schemeClr val="tx1"/>
                  </a:solidFill>
                  <a:effectLst/>
                  <a:latin typeface="+mn-lt"/>
                  <a:ea typeface="+mn-ea"/>
                  <a:cs typeface="+mn-cs"/>
                </a:rPr>
                <a:t>premier RESULTAT</a:t>
              </a:r>
              <a:endParaRPr lang="fr-FR" sz="1100" baseline="0">
                <a:solidFill>
                  <a:schemeClr val="tx1"/>
                </a:solidFill>
                <a:effectLst/>
                <a:latin typeface="+mn-lt"/>
                <a:ea typeface="+mn-ea"/>
                <a:cs typeface="+mn-cs"/>
              </a:endParaRPr>
            </a:p>
            <a:p>
              <a:pPr marL="0" indent="0">
                <a:buFont typeface="Arial" panose="020B0604020202020204" pitchFamily="34" charset="0"/>
                <a:buNone/>
              </a:pPr>
              <a:endParaRPr lang="fr-FR" sz="1100" baseline="0">
                <a:solidFill>
                  <a:schemeClr val="tx1"/>
                </a:solidFill>
                <a:effectLst/>
                <a:latin typeface="+mn-lt"/>
                <a:ea typeface="+mn-ea"/>
                <a:cs typeface="+mn-cs"/>
              </a:endParaRPr>
            </a:p>
            <a:p>
              <a:pPr marL="0" indent="0">
                <a:buFont typeface="Arial" panose="020B0604020202020204" pitchFamily="34" charset="0"/>
                <a:buNone/>
              </a:pPr>
              <a:endParaRPr lang="fr-FR" sz="1100" baseline="0">
                <a:solidFill>
                  <a:schemeClr val="tx1"/>
                </a:solidFill>
                <a:effectLst/>
                <a:latin typeface="+mn-lt"/>
                <a:ea typeface="+mn-ea"/>
                <a:cs typeface="+mn-cs"/>
              </a:endParaRPr>
            </a:p>
            <a:p>
              <a:pPr marL="0" indent="0">
                <a:buFont typeface="Arial" panose="020B0604020202020204" pitchFamily="34" charset="0"/>
                <a:buNone/>
              </a:pPr>
              <a:endParaRPr lang="fr-FR" sz="1100" baseline="0">
                <a:solidFill>
                  <a:schemeClr val="tx1"/>
                </a:solidFill>
                <a:effectLst/>
                <a:latin typeface="+mn-lt"/>
                <a:ea typeface="+mn-ea"/>
                <a:cs typeface="+mn-cs"/>
              </a:endParaRPr>
            </a:p>
            <a:p>
              <a:pPr marL="0" indent="0">
                <a:buFont typeface="Arial" panose="020B0604020202020204" pitchFamily="34" charset="0"/>
                <a:buNone/>
              </a:pPr>
              <a:endParaRPr lang="fr-FR" sz="1100" baseline="0">
                <a:solidFill>
                  <a:schemeClr val="tx1"/>
                </a:solidFill>
                <a:effectLst/>
                <a:latin typeface="+mn-lt"/>
                <a:ea typeface="+mn-ea"/>
                <a:cs typeface="+mn-cs"/>
              </a:endParaRPr>
            </a:p>
            <a:p>
              <a:pPr marL="0" indent="0">
                <a:buFont typeface="Arial" panose="020B0604020202020204" pitchFamily="34" charset="0"/>
                <a:buNone/>
              </a:pPr>
              <a:endParaRPr lang="fr-FR" sz="1100" baseline="0">
                <a:solidFill>
                  <a:schemeClr val="tx1"/>
                </a:solidFill>
                <a:effectLst/>
                <a:latin typeface="+mn-lt"/>
                <a:ea typeface="+mn-ea"/>
                <a:cs typeface="+mn-cs"/>
              </a:endParaRPr>
            </a:p>
            <a:p>
              <a:pPr marL="0" indent="0">
                <a:buFont typeface="Arial" panose="020B0604020202020204" pitchFamily="34" charset="0"/>
                <a:buNone/>
              </a:pPr>
              <a:endParaRPr lang="fr-FR" sz="1100" baseline="0">
                <a:solidFill>
                  <a:schemeClr val="tx1"/>
                </a:solidFill>
                <a:effectLst/>
                <a:latin typeface="+mn-lt"/>
                <a:ea typeface="+mn-ea"/>
                <a:cs typeface="+mn-cs"/>
              </a:endParaRPr>
            </a:p>
            <a:p>
              <a:pPr marL="0" indent="0">
                <a:buFont typeface="Arial" panose="020B0604020202020204" pitchFamily="34" charset="0"/>
                <a:buNone/>
              </a:pPr>
              <a:endParaRPr lang="fr-FR" sz="1100" baseline="0">
                <a:solidFill>
                  <a:schemeClr val="tx1"/>
                </a:solidFill>
                <a:effectLst/>
                <a:latin typeface="+mn-lt"/>
                <a:ea typeface="+mn-ea"/>
                <a:cs typeface="+mn-cs"/>
              </a:endParaRPr>
            </a:p>
            <a:p>
              <a:pPr marL="0" indent="0">
                <a:buFont typeface="Arial" panose="020B0604020202020204" pitchFamily="34" charset="0"/>
                <a:buNone/>
              </a:pPr>
              <a:endParaRPr lang="fr-FR" sz="1100" baseline="0">
                <a:solidFill>
                  <a:schemeClr val="tx1"/>
                </a:solidFill>
                <a:effectLst/>
                <a:latin typeface="+mn-lt"/>
                <a:ea typeface="+mn-ea"/>
                <a:cs typeface="+mn-cs"/>
              </a:endParaRPr>
            </a:p>
            <a:p>
              <a:pPr marL="0" indent="0">
                <a:buFont typeface="Arial" panose="020B0604020202020204" pitchFamily="34" charset="0"/>
                <a:buNone/>
              </a:pPr>
              <a:endParaRPr lang="fr-FR" sz="1100" baseline="0">
                <a:solidFill>
                  <a:schemeClr val="tx1"/>
                </a:solidFill>
                <a:effectLst/>
                <a:latin typeface="+mn-lt"/>
                <a:ea typeface="+mn-ea"/>
                <a:cs typeface="+mn-cs"/>
              </a:endParaRPr>
            </a:p>
            <a:p>
              <a:pPr marL="0" indent="0">
                <a:buFont typeface="Arial" panose="020B0604020202020204" pitchFamily="34" charset="0"/>
                <a:buNone/>
              </a:pPr>
              <a:endParaRPr lang="fr-FR" sz="1100" baseline="0">
                <a:solidFill>
                  <a:schemeClr val="tx1"/>
                </a:solidFill>
                <a:effectLst/>
                <a:latin typeface="+mn-lt"/>
                <a:ea typeface="+mn-ea"/>
                <a:cs typeface="+mn-cs"/>
              </a:endParaRPr>
            </a:p>
            <a:p>
              <a:pPr marL="0" indent="0">
                <a:buFont typeface="Arial" panose="020B0604020202020204" pitchFamily="34" charset="0"/>
                <a:buNone/>
              </a:pPr>
              <a:endParaRPr lang="fr-FR" sz="1100" baseline="0">
                <a:solidFill>
                  <a:schemeClr val="tx1"/>
                </a:solidFill>
                <a:effectLst/>
                <a:latin typeface="+mn-lt"/>
                <a:ea typeface="+mn-ea"/>
                <a:cs typeface="+mn-cs"/>
              </a:endParaRPr>
            </a:p>
            <a:p>
              <a:pPr marL="0" indent="0">
                <a:buFont typeface="Arial" panose="020B0604020202020204" pitchFamily="34" charset="0"/>
                <a:buNone/>
              </a:pPr>
              <a:endParaRPr lang="fr-FR" sz="1100" baseline="0">
                <a:solidFill>
                  <a:schemeClr val="tx1"/>
                </a:solidFill>
                <a:effectLst/>
                <a:latin typeface="+mn-lt"/>
                <a:ea typeface="+mn-ea"/>
                <a:cs typeface="+mn-cs"/>
              </a:endParaRPr>
            </a:p>
            <a:p>
              <a:pPr marL="0" indent="0">
                <a:buFont typeface="Arial" panose="020B0604020202020204" pitchFamily="34" charset="0"/>
                <a:buNone/>
              </a:pPr>
              <a:endParaRPr lang="fr-FR" sz="1100">
                <a:solidFill>
                  <a:schemeClr val="tx1"/>
                </a:solidFill>
                <a:effectLst/>
                <a:latin typeface="+mn-lt"/>
                <a:ea typeface="+mn-ea"/>
                <a:cs typeface="+mn-cs"/>
              </a:endParaRPr>
            </a:p>
          </xdr:txBody>
        </xdr:sp>
        <xdr:pic>
          <xdr:nvPicPr>
            <xdr:cNvPr id="49" name="Image 48">
              <a:extLst>
                <a:ext uri="{FF2B5EF4-FFF2-40B4-BE49-F238E27FC236}">
                  <a16:creationId xmlns:a16="http://schemas.microsoft.com/office/drawing/2014/main" id="{B1257BD0-8B23-43B9-8632-57DFF21E96E1}"/>
                </a:ext>
              </a:extLst>
            </xdr:cNvPr>
            <xdr:cNvPicPr>
              <a:picLocks noChangeAspect="1"/>
            </xdr:cNvPicPr>
          </xdr:nvPicPr>
          <xdr:blipFill>
            <a:blip xmlns:r="http://schemas.openxmlformats.org/officeDocument/2006/relationships" r:embed="rId2"/>
            <a:stretch>
              <a:fillRect/>
            </a:stretch>
          </xdr:blipFill>
          <xdr:spPr>
            <a:xfrm>
              <a:off x="922244" y="12415184"/>
              <a:ext cx="2105319" cy="400106"/>
            </a:xfrm>
            <a:prstGeom prst="rect">
              <a:avLst/>
            </a:prstGeom>
          </xdr:spPr>
        </xdr:pic>
        <xdr:sp macro="" textlink="">
          <xdr:nvSpPr>
            <xdr:cNvPr id="50" name="Rectangle : coins arrondis 49">
              <a:extLst>
                <a:ext uri="{FF2B5EF4-FFF2-40B4-BE49-F238E27FC236}">
                  <a16:creationId xmlns:a16="http://schemas.microsoft.com/office/drawing/2014/main" id="{0E9BD261-5110-487C-8DBA-6B82B3B68D5F}"/>
                </a:ext>
              </a:extLst>
            </xdr:cNvPr>
            <xdr:cNvSpPr/>
          </xdr:nvSpPr>
          <xdr:spPr>
            <a:xfrm>
              <a:off x="128203" y="11876919"/>
              <a:ext cx="641102" cy="631314"/>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000" b="1"/>
                <a:t>2</a:t>
              </a:r>
            </a:p>
          </xdr:txBody>
        </xdr:sp>
      </xdr:grpSp>
    </xdr:grpSp>
    <xdr:clientData/>
  </xdr:twoCellAnchor>
  <xdr:twoCellAnchor>
    <xdr:from>
      <xdr:col>1</xdr:col>
      <xdr:colOff>640471</xdr:colOff>
      <xdr:row>127</xdr:row>
      <xdr:rowOff>66463</xdr:rowOff>
    </xdr:from>
    <xdr:to>
      <xdr:col>6</xdr:col>
      <xdr:colOff>240469</xdr:colOff>
      <xdr:row>135</xdr:row>
      <xdr:rowOff>103939</xdr:rowOff>
    </xdr:to>
    <xdr:grpSp>
      <xdr:nvGrpSpPr>
        <xdr:cNvPr id="216" name="Groupe 215">
          <a:extLst>
            <a:ext uri="{FF2B5EF4-FFF2-40B4-BE49-F238E27FC236}">
              <a16:creationId xmlns:a16="http://schemas.microsoft.com/office/drawing/2014/main" id="{A8373B70-8542-4656-BF24-21648D1B4F84}"/>
            </a:ext>
          </a:extLst>
        </xdr:cNvPr>
        <xdr:cNvGrpSpPr/>
      </xdr:nvGrpSpPr>
      <xdr:grpSpPr>
        <a:xfrm>
          <a:off x="763736" y="26019287"/>
          <a:ext cx="3409998" cy="1561476"/>
          <a:chOff x="750058" y="24774035"/>
          <a:chExt cx="3407834" cy="1561476"/>
        </a:xfrm>
      </xdr:grpSpPr>
      <xdr:sp macro="" textlink="">
        <xdr:nvSpPr>
          <xdr:cNvPr id="2" name="ZoneTexte 1">
            <a:extLst>
              <a:ext uri="{FF2B5EF4-FFF2-40B4-BE49-F238E27FC236}">
                <a16:creationId xmlns:a16="http://schemas.microsoft.com/office/drawing/2014/main" id="{0AC58691-4150-470A-BE3F-B6E9930F4B31}"/>
              </a:ext>
            </a:extLst>
          </xdr:cNvPr>
          <xdr:cNvSpPr txBox="1"/>
        </xdr:nvSpPr>
        <xdr:spPr>
          <a:xfrm>
            <a:off x="750058" y="24774035"/>
            <a:ext cx="3407834" cy="677335"/>
          </a:xfrm>
          <a:prstGeom prst="rect">
            <a:avLst/>
          </a:prstGeom>
          <a:solidFill>
            <a:srgbClr val="00B0F0"/>
          </a:solidFill>
          <a:ln w="63500" cmpd="thickThi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buFont typeface="Arial" panose="020B0604020202020204" pitchFamily="34" charset="0"/>
              <a:buNone/>
            </a:pPr>
            <a:r>
              <a:rPr lang="fr-FR" sz="1600" b="1">
                <a:solidFill>
                  <a:schemeClr val="bg1"/>
                </a:solidFill>
                <a:effectLst/>
                <a:latin typeface="+mn-lt"/>
                <a:ea typeface="+mn-ea"/>
                <a:cs typeface="+mn-cs"/>
              </a:rPr>
              <a:t>Pour commencer, cliquez sur l'onglet</a:t>
            </a:r>
            <a:br>
              <a:rPr lang="fr-FR" sz="1600" b="1">
                <a:solidFill>
                  <a:schemeClr val="bg1"/>
                </a:solidFill>
                <a:effectLst/>
                <a:latin typeface="+mn-lt"/>
                <a:ea typeface="+mn-ea"/>
                <a:cs typeface="+mn-cs"/>
              </a:rPr>
            </a:br>
            <a:r>
              <a:rPr lang="fr-FR" sz="1600" b="1">
                <a:solidFill>
                  <a:schemeClr val="bg1"/>
                </a:solidFill>
                <a:effectLst/>
                <a:latin typeface="+mn-lt"/>
                <a:ea typeface="+mn-ea"/>
                <a:cs typeface="+mn-cs"/>
              </a:rPr>
              <a:t>'SAISIE'</a:t>
            </a:r>
          </a:p>
        </xdr:txBody>
      </xdr:sp>
      <xdr:sp macro="" textlink="">
        <xdr:nvSpPr>
          <xdr:cNvPr id="3" name="Flèche : bas 2">
            <a:extLst>
              <a:ext uri="{FF2B5EF4-FFF2-40B4-BE49-F238E27FC236}">
                <a16:creationId xmlns:a16="http://schemas.microsoft.com/office/drawing/2014/main" id="{1B0A65BF-A331-4508-B526-30110B16FAE5}"/>
              </a:ext>
            </a:extLst>
          </xdr:cNvPr>
          <xdr:cNvSpPr/>
        </xdr:nvSpPr>
        <xdr:spPr>
          <a:xfrm>
            <a:off x="2076777" y="25566787"/>
            <a:ext cx="727074" cy="768724"/>
          </a:xfrm>
          <a:prstGeom prst="downArrow">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fPrintsWithSheet="0"/>
  </xdr:twoCellAnchor>
  <xdr:oneCellAnchor>
    <xdr:from>
      <xdr:col>5</xdr:col>
      <xdr:colOff>614090</xdr:colOff>
      <xdr:row>89</xdr:row>
      <xdr:rowOff>48362</xdr:rowOff>
    </xdr:from>
    <xdr:ext cx="1165244" cy="989229"/>
    <xdr:sp macro="" textlink="">
      <xdr:nvSpPr>
        <xdr:cNvPr id="4" name="ZoneTexte 3">
          <a:extLst>
            <a:ext uri="{FF2B5EF4-FFF2-40B4-BE49-F238E27FC236}">
              <a16:creationId xmlns:a16="http://schemas.microsoft.com/office/drawing/2014/main" id="{239D0CD1-7A68-4240-A6D5-E204F91541FF}"/>
            </a:ext>
          </a:extLst>
        </xdr:cNvPr>
        <xdr:cNvSpPr txBox="1"/>
      </xdr:nvSpPr>
      <xdr:spPr>
        <a:xfrm>
          <a:off x="3785355" y="18762186"/>
          <a:ext cx="1165244" cy="989229"/>
        </a:xfrm>
        <a:prstGeom prst="rect">
          <a:avLst/>
        </a:prstGeom>
        <a:solidFill>
          <a:srgbClr val="CCFF66"/>
        </a:solidFill>
        <a:ln w="63500" cmpd="thickThin">
          <a:solidFill>
            <a:schemeClr val="accent3"/>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buFont typeface="Arial" panose="020B0604020202020204" pitchFamily="34" charset="0"/>
            <a:buNone/>
          </a:pPr>
          <a:r>
            <a:rPr lang="fr-FR" sz="1100" baseline="0">
              <a:solidFill>
                <a:schemeClr val="tx1"/>
              </a:solidFill>
              <a:effectLst/>
              <a:latin typeface="+mn-lt"/>
              <a:ea typeface="+mn-ea"/>
              <a:cs typeface="+mn-cs"/>
            </a:rPr>
            <a:t>Allez voir les RESULTATS plus détaillés dans les onglets 'RESULTATS...'</a:t>
          </a:r>
          <a:endParaRPr lang="fr-FR" sz="1100">
            <a:solidFill>
              <a:schemeClr val="tx1"/>
            </a:solidFill>
            <a:effectLst/>
            <a:latin typeface="+mn-lt"/>
            <a:ea typeface="+mn-ea"/>
            <a:cs typeface="+mn-cs"/>
          </a:endParaRPr>
        </a:p>
        <a:p>
          <a:pPr marL="0" indent="0">
            <a:buFont typeface="Arial" panose="020B0604020202020204" pitchFamily="34" charset="0"/>
            <a:buNone/>
          </a:pPr>
          <a:endParaRPr lang="fr-FR" sz="1100">
            <a:solidFill>
              <a:schemeClr val="tx1"/>
            </a:solidFill>
            <a:effectLst/>
            <a:latin typeface="+mn-lt"/>
            <a:ea typeface="+mn-ea"/>
            <a:cs typeface="+mn-cs"/>
          </a:endParaRPr>
        </a:p>
      </xdr:txBody>
    </xdr:sp>
    <xdr:clientData/>
  </xdr:oneCellAnchor>
  <xdr:oneCellAnchor>
    <xdr:from>
      <xdr:col>19</xdr:col>
      <xdr:colOff>103908</xdr:colOff>
      <xdr:row>0</xdr:row>
      <xdr:rowOff>245919</xdr:rowOff>
    </xdr:from>
    <xdr:ext cx="4675909" cy="3343275"/>
    <xdr:sp macro="" textlink="">
      <xdr:nvSpPr>
        <xdr:cNvPr id="5" name="ZoneTexte 4">
          <a:extLst>
            <a:ext uri="{FF2B5EF4-FFF2-40B4-BE49-F238E27FC236}">
              <a16:creationId xmlns:a16="http://schemas.microsoft.com/office/drawing/2014/main" id="{7C3A7643-0A48-4A9C-A2DC-C5F3D2F5437C}"/>
            </a:ext>
          </a:extLst>
        </xdr:cNvPr>
        <xdr:cNvSpPr txBox="1"/>
      </xdr:nvSpPr>
      <xdr:spPr>
        <a:xfrm>
          <a:off x="12971317" y="245919"/>
          <a:ext cx="4675909" cy="3343275"/>
        </a:xfrm>
        <a:prstGeom prst="rect">
          <a:avLst/>
        </a:prstGeom>
        <a:solidFill>
          <a:schemeClr val="lt1"/>
        </a:solidFill>
        <a:ln w="63500" cmpd="thickThin">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50" b="1" i="1">
              <a:solidFill>
                <a:schemeClr val="dk1"/>
              </a:solidFill>
              <a:effectLst/>
              <a:latin typeface="+mn-lt"/>
              <a:ea typeface="+mn-ea"/>
              <a:cs typeface="+mn-cs"/>
            </a:rPr>
            <a:t>ARVALIS - Institut du végétal décline toute responsabilité :</a:t>
          </a:r>
        </a:p>
        <a:p>
          <a:r>
            <a:rPr lang="fr-FR" sz="1150" b="1" i="1">
              <a:solidFill>
                <a:schemeClr val="dk1"/>
              </a:solidFill>
              <a:effectLst/>
              <a:latin typeface="+mn-lt"/>
              <a:ea typeface="+mn-ea"/>
              <a:cs typeface="+mn-cs"/>
            </a:rPr>
            <a:t>- pour toute imprécision, inexactitude ou omission portant sur des informations disponibles. </a:t>
          </a:r>
        </a:p>
        <a:p>
          <a:r>
            <a:rPr lang="fr-FR" sz="1150" b="1" i="1">
              <a:solidFill>
                <a:schemeClr val="dk1"/>
              </a:solidFill>
              <a:effectLst/>
              <a:latin typeface="+mn-lt"/>
              <a:ea typeface="+mn-ea"/>
              <a:cs typeface="+mn-cs"/>
            </a:rPr>
            <a:t> - pour tout résultat qui pourrait être obtenu par l'usage des informations disponibles.</a:t>
          </a:r>
        </a:p>
        <a:p>
          <a:r>
            <a:rPr lang="fr-FR" sz="1150" b="1" i="1">
              <a:solidFill>
                <a:schemeClr val="dk1"/>
              </a:solidFill>
              <a:effectLst/>
              <a:latin typeface="+mn-lt"/>
              <a:ea typeface="+mn-ea"/>
              <a:cs typeface="+mn-cs"/>
            </a:rPr>
            <a:t>- pour tous dommages résultant d'une intrusion frauduleuse d'un tiers, ayant entraîné une modification des informations ou éléments mis à disposition.</a:t>
          </a:r>
        </a:p>
        <a:p>
          <a:r>
            <a:rPr lang="fr-FR" sz="1150" b="1" i="1">
              <a:solidFill>
                <a:schemeClr val="dk1"/>
              </a:solidFill>
              <a:effectLst/>
              <a:latin typeface="+mn-lt"/>
              <a:ea typeface="+mn-ea"/>
              <a:cs typeface="+mn-cs"/>
            </a:rPr>
            <a:t>- et plus généralement pour tous dommages, directs ou indirects, quelles qu'en soient les causes, origines, natures ou conséquences, quand bien même ARVALIS - Institut du végétal aurait été avisée de la possibilité de tels dommages, provoqués à raison (i) de l'accès de quiconque aux informations ou de l'impossibilité d'y accéder, (ii) de l'utilisation des informations, incluant toutes détériorations ou virus qui pourraient infecter votre équipement informatique ou tout autre bien, et/ou (iii) du crédit accordé à une quelconque information provenant directement ou indirectement de l’outil "</a:t>
          </a:r>
          <a:r>
            <a:rPr lang="fr-FR" sz="1150" b="1" i="1" u="sng">
              <a:solidFill>
                <a:sysClr val="windowText" lastClr="000000"/>
              </a:solidFill>
              <a:effectLst/>
              <a:latin typeface="+mn-lt"/>
              <a:ea typeface="+mn-ea"/>
              <a:cs typeface="+mn-cs"/>
            </a:rPr>
            <a:t>ImpactCoutProduction</a:t>
          </a:r>
          <a:r>
            <a:rPr lang="fr-FR" sz="1150" b="1" i="1" u="none">
              <a:solidFill>
                <a:schemeClr val="dk1"/>
              </a:solidFill>
              <a:effectLst/>
              <a:latin typeface="+mn-lt"/>
              <a:ea typeface="+mn-ea"/>
              <a:cs typeface="+mn-cs"/>
            </a:rPr>
            <a:t>"</a:t>
          </a:r>
          <a:r>
            <a:rPr lang="fr-FR" sz="1150" b="1" i="1">
              <a:solidFill>
                <a:schemeClr val="dk1"/>
              </a:solidFill>
              <a:effectLst/>
              <a:latin typeface="+mn-lt"/>
              <a:ea typeface="+mn-ea"/>
              <a:cs typeface="+mn-cs"/>
            </a:rPr>
            <a:t>.</a:t>
          </a:r>
        </a:p>
        <a:p>
          <a:endParaRPr lang="fr-FR" sz="1150" b="1" i="1"/>
        </a:p>
      </xdr:txBody>
    </xdr:sp>
    <xdr:clientData/>
  </xdr:oneCellAnchor>
  <xdr:oneCellAnchor>
    <xdr:from>
      <xdr:col>1</xdr:col>
      <xdr:colOff>61918</xdr:colOff>
      <xdr:row>11</xdr:row>
      <xdr:rowOff>42332</xdr:rowOff>
    </xdr:from>
    <xdr:ext cx="17394809" cy="3481918"/>
    <xdr:grpSp>
      <xdr:nvGrpSpPr>
        <xdr:cNvPr id="6" name="Groupe 5">
          <a:extLst>
            <a:ext uri="{FF2B5EF4-FFF2-40B4-BE49-F238E27FC236}">
              <a16:creationId xmlns:a16="http://schemas.microsoft.com/office/drawing/2014/main" id="{FD63B140-C0C5-46E0-83CC-1F7FA1E83AB3}"/>
            </a:ext>
          </a:extLst>
        </xdr:cNvPr>
        <xdr:cNvGrpSpPr/>
      </xdr:nvGrpSpPr>
      <xdr:grpSpPr>
        <a:xfrm>
          <a:off x="185183" y="3729067"/>
          <a:ext cx="17394809" cy="3481918"/>
          <a:chOff x="280992" y="3652867"/>
          <a:chExt cx="19104993" cy="2825048"/>
        </a:xfrm>
      </xdr:grpSpPr>
      <xdr:sp macro="" textlink="">
        <xdr:nvSpPr>
          <xdr:cNvPr id="7" name="ZoneTexte 6">
            <a:extLst>
              <a:ext uri="{FF2B5EF4-FFF2-40B4-BE49-F238E27FC236}">
                <a16:creationId xmlns:a16="http://schemas.microsoft.com/office/drawing/2014/main" id="{D4534095-BD3C-4014-88FC-672BF687ECE1}"/>
              </a:ext>
            </a:extLst>
          </xdr:cNvPr>
          <xdr:cNvSpPr txBox="1"/>
        </xdr:nvSpPr>
        <xdr:spPr>
          <a:xfrm>
            <a:off x="280992" y="3652867"/>
            <a:ext cx="19104993" cy="2825048"/>
          </a:xfrm>
          <a:prstGeom prst="rect">
            <a:avLst/>
          </a:prstGeom>
          <a:solidFill>
            <a:sysClr val="window" lastClr="FFFFFF"/>
          </a:solidFill>
          <a:ln w="63500" cmpd="thickThi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fr-FR" sz="1100" b="1">
                <a:solidFill>
                  <a:schemeClr val="tx1"/>
                </a:solidFill>
                <a:effectLst/>
                <a:latin typeface="+mn-lt"/>
                <a:ea typeface="+mn-ea"/>
                <a:cs typeface="+mn-cs"/>
              </a:rPr>
              <a:t>Entre l'augmentation du prix des intrants et la volatilité des prix de marché de vos cultures, il devient difficile de se situer !</a:t>
            </a:r>
            <a:r>
              <a:rPr lang="fr-FR" sz="1100" b="1" baseline="0">
                <a:solidFill>
                  <a:schemeClr val="tx1"/>
                </a:solidFill>
                <a:effectLst/>
                <a:latin typeface="+mn-lt"/>
                <a:ea typeface="+mn-ea"/>
                <a:cs typeface="+mn-cs"/>
              </a:rPr>
              <a:t> </a:t>
            </a:r>
          </a:p>
          <a:p>
            <a:endParaRPr lang="fr-FR" sz="1100" b="0" baseline="0">
              <a:solidFill>
                <a:schemeClr val="tx1"/>
              </a:solidFill>
              <a:effectLst/>
              <a:latin typeface="+mn-lt"/>
              <a:ea typeface="+mn-ea"/>
              <a:cs typeface="+mn-cs"/>
            </a:endParaRPr>
          </a:p>
          <a:p>
            <a:r>
              <a:rPr lang="fr-FR" sz="1100" b="0" baseline="0">
                <a:solidFill>
                  <a:schemeClr val="tx1"/>
                </a:solidFill>
                <a:effectLst/>
                <a:latin typeface="+mn-lt"/>
                <a:ea typeface="+mn-ea"/>
                <a:cs typeface="+mn-cs"/>
              </a:rPr>
              <a:t>En utilisant </a:t>
            </a:r>
            <a:r>
              <a:rPr lang="fr-FR" sz="1100" b="1" baseline="0">
                <a:solidFill>
                  <a:sysClr val="windowText" lastClr="000000"/>
                </a:solidFill>
                <a:effectLst/>
                <a:latin typeface="+mn-lt"/>
                <a:ea typeface="+mn-ea"/>
                <a:cs typeface="+mn-cs"/>
              </a:rPr>
              <a:t>ImpactCoutProduction</a:t>
            </a:r>
            <a:r>
              <a:rPr lang="fr-FR" sz="1100" b="0" baseline="0">
                <a:solidFill>
                  <a:schemeClr val="tx1"/>
                </a:solidFill>
                <a:effectLst/>
                <a:latin typeface="+mn-lt"/>
                <a:ea typeface="+mn-ea"/>
                <a:cs typeface="+mn-cs"/>
              </a:rPr>
              <a:t>, vous pouvez estimer pour une culture, l'augmentation d'un ou plusieurs postes de charge et son impact </a:t>
            </a:r>
            <a:r>
              <a:rPr lang="fr-FR" sz="1100" b="1" baseline="0">
                <a:solidFill>
                  <a:schemeClr val="tx1"/>
                </a:solidFill>
                <a:effectLst/>
                <a:latin typeface="+mn-lt"/>
                <a:ea typeface="+mn-ea"/>
                <a:cs typeface="+mn-cs"/>
              </a:rPr>
              <a:t>sur le cout de production et la marge </a:t>
            </a:r>
            <a:r>
              <a:rPr lang="fr-FR" sz="1100" b="0" baseline="0">
                <a:solidFill>
                  <a:schemeClr val="tx1"/>
                </a:solidFill>
                <a:effectLst/>
                <a:latin typeface="+mn-lt"/>
                <a:ea typeface="+mn-ea"/>
                <a:cs typeface="+mn-cs"/>
              </a:rPr>
              <a:t>en prenant les chiffres de </a:t>
            </a:r>
            <a:r>
              <a:rPr lang="fr-FR" sz="1100" b="1" baseline="0">
                <a:solidFill>
                  <a:schemeClr val="tx1"/>
                </a:solidFill>
                <a:effectLst/>
                <a:latin typeface="+mn-lt"/>
                <a:ea typeface="+mn-ea"/>
                <a:cs typeface="+mn-cs"/>
              </a:rPr>
              <a:t>VOTRE</a:t>
            </a:r>
            <a:r>
              <a:rPr lang="fr-FR" sz="1100" b="0" baseline="0">
                <a:solidFill>
                  <a:schemeClr val="tx1"/>
                </a:solidFill>
                <a:effectLst/>
                <a:latin typeface="+mn-lt"/>
                <a:ea typeface="+mn-ea"/>
                <a:cs typeface="+mn-cs"/>
              </a:rPr>
              <a:t> exploitation. </a:t>
            </a:r>
            <a:endParaRPr lang="fr-FR" sz="1100" b="0">
              <a:solidFill>
                <a:schemeClr val="tx1"/>
              </a:solidFill>
              <a:effectLst/>
              <a:latin typeface="+mn-lt"/>
              <a:ea typeface="+mn-ea"/>
              <a:cs typeface="+mn-cs"/>
            </a:endParaRPr>
          </a:p>
          <a:p>
            <a:endParaRPr lang="fr-FR" sz="1100" b="1">
              <a:solidFill>
                <a:schemeClr val="tx1"/>
              </a:solidFill>
              <a:effectLst/>
              <a:latin typeface="+mn-lt"/>
              <a:ea typeface="+mn-ea"/>
              <a:cs typeface="+mn-cs"/>
            </a:endParaRPr>
          </a:p>
          <a:p>
            <a:r>
              <a:rPr lang="fr-FR" sz="1100" b="1">
                <a:solidFill>
                  <a:schemeClr val="tx1"/>
                </a:solidFill>
                <a:effectLst/>
                <a:latin typeface="+mn-lt"/>
                <a:ea typeface="+mn-ea"/>
                <a:cs typeface="+mn-cs"/>
              </a:rPr>
              <a:t>Vous pourrez comparer 3 situations</a:t>
            </a:r>
            <a:r>
              <a:rPr lang="fr-FR" sz="1100">
                <a:solidFill>
                  <a:sysClr val="windowText" lastClr="000000"/>
                </a:solidFill>
                <a:effectLst/>
                <a:latin typeface="+mn-lt"/>
                <a:ea typeface="+mn-ea"/>
                <a:cs typeface="+mn-cs"/>
              </a:rPr>
              <a:t>, de charges et de rendement, par </a:t>
            </a:r>
            <a:r>
              <a:rPr lang="fr-FR" sz="1100">
                <a:solidFill>
                  <a:schemeClr val="tx1"/>
                </a:solidFill>
                <a:effectLst/>
                <a:latin typeface="+mn-lt"/>
                <a:ea typeface="+mn-ea"/>
                <a:cs typeface="+mn-cs"/>
              </a:rPr>
              <a:t>exemple</a:t>
            </a:r>
            <a:r>
              <a:rPr lang="fr-FR" sz="1100" baseline="0">
                <a:solidFill>
                  <a:schemeClr val="tx1"/>
                </a:solidFill>
                <a:effectLst/>
                <a:latin typeface="+mn-lt"/>
                <a:ea typeface="+mn-ea"/>
                <a:cs typeface="+mn-cs"/>
              </a:rPr>
              <a:t> </a:t>
            </a:r>
            <a:r>
              <a:rPr lang="fr-FR" sz="1100">
                <a:solidFill>
                  <a:schemeClr val="tx1"/>
                </a:solidFill>
                <a:effectLst/>
                <a:latin typeface="+mn-lt"/>
                <a:ea typeface="+mn-ea"/>
                <a:cs typeface="+mn-cs"/>
              </a:rPr>
              <a:t>un historique (récolte 2021), la récolte 2022 (avec les intrants que vous venez d’acheter) et la récolte 2023 en faisant une estimation des charges.</a:t>
            </a:r>
          </a:p>
          <a:p>
            <a:pPr lvl="0"/>
            <a:endParaRPr lang="fr-FR" sz="1100" b="1">
              <a:solidFill>
                <a:schemeClr val="tx1"/>
              </a:solidFill>
              <a:effectLst/>
              <a:latin typeface="+mn-lt"/>
              <a:ea typeface="+mn-ea"/>
              <a:cs typeface="+mn-cs"/>
            </a:endParaRPr>
          </a:p>
          <a:p>
            <a:pPr lvl="0"/>
            <a:r>
              <a:rPr lang="fr-FR" sz="1100" b="1">
                <a:solidFill>
                  <a:schemeClr val="tx1"/>
                </a:solidFill>
                <a:effectLst/>
                <a:latin typeface="+mn-lt"/>
                <a:ea typeface="+mn-ea"/>
                <a:cs typeface="+mn-cs"/>
              </a:rPr>
              <a:t>Les postes</a:t>
            </a:r>
            <a:r>
              <a:rPr lang="fr-FR" sz="1100" b="1" baseline="0">
                <a:solidFill>
                  <a:schemeClr val="tx1"/>
                </a:solidFill>
                <a:effectLst/>
                <a:latin typeface="+mn-lt"/>
                <a:ea typeface="+mn-ea"/>
                <a:cs typeface="+mn-cs"/>
              </a:rPr>
              <a:t> de charges possibles sont </a:t>
            </a:r>
            <a:r>
              <a:rPr lang="fr-FR" sz="1100">
                <a:solidFill>
                  <a:schemeClr val="tx1"/>
                </a:solidFill>
                <a:effectLst/>
                <a:latin typeface="+mn-lt"/>
                <a:ea typeface="+mn-ea"/>
                <a:cs typeface="+mn-cs"/>
              </a:rPr>
              <a:t>: semences, engrais azotés et autre engrais, produits phytosanitaire,</a:t>
            </a:r>
            <a:r>
              <a:rPr lang="fr-FR" sz="1100" baseline="0">
                <a:solidFill>
                  <a:schemeClr val="tx1"/>
                </a:solidFill>
                <a:effectLst/>
                <a:latin typeface="+mn-lt"/>
                <a:ea typeface="+mn-ea"/>
                <a:cs typeface="+mn-cs"/>
              </a:rPr>
              <a:t> eau d'irrigation (énergie et redevance), séchage, stockage (énergie), mécanisation (</a:t>
            </a:r>
            <a:r>
              <a:rPr lang="fr-FR" sz="1100">
                <a:solidFill>
                  <a:schemeClr val="tx1"/>
                </a:solidFill>
                <a:effectLst/>
                <a:latin typeface="+mn-lt"/>
                <a:ea typeface="+mn-ea"/>
                <a:cs typeface="+mn-cs"/>
              </a:rPr>
              <a:t>carburant, amortissement</a:t>
            </a:r>
            <a:r>
              <a:rPr lang="fr-FR" sz="1100" baseline="0">
                <a:solidFill>
                  <a:schemeClr val="tx1"/>
                </a:solidFill>
                <a:effectLst/>
                <a:latin typeface="+mn-lt"/>
                <a:ea typeface="+mn-ea"/>
                <a:cs typeface="+mn-cs"/>
              </a:rPr>
              <a:t> ou </a:t>
            </a:r>
            <a:r>
              <a:rPr lang="fr-FR" sz="1100">
                <a:solidFill>
                  <a:schemeClr val="tx1"/>
                </a:solidFill>
                <a:effectLst/>
                <a:latin typeface="+mn-lt"/>
                <a:ea typeface="+mn-ea"/>
                <a:cs typeface="+mn-cs"/>
              </a:rPr>
              <a:t>remboursement du capital des emprunts (yc irrigation et stockage), entretien/réparation, travaux par tiers, location, frais financiers de l'ensemble des emprunts de votre exploitation), main</a:t>
            </a:r>
            <a:r>
              <a:rPr lang="fr-FR" sz="1100" baseline="0">
                <a:solidFill>
                  <a:schemeClr val="tx1"/>
                </a:solidFill>
                <a:effectLst/>
                <a:latin typeface="+mn-lt"/>
                <a:ea typeface="+mn-ea"/>
                <a:cs typeface="+mn-cs"/>
              </a:rPr>
              <a:t> d'oeuvre (salaire et charges sociales, cotisations sociales exploitant, rémunération main d’œuvre familiale), fermage, autres charges fixes</a:t>
            </a:r>
            <a:r>
              <a:rPr lang="fr-FR" sz="1100">
                <a:solidFill>
                  <a:schemeClr val="tx1"/>
                </a:solidFill>
                <a:effectLst/>
                <a:latin typeface="+mn-lt"/>
                <a:ea typeface="+mn-ea"/>
                <a:cs typeface="+mn-cs"/>
              </a:rPr>
              <a:t>. </a:t>
            </a:r>
            <a:r>
              <a:rPr lang="fr-FR" sz="1100" i="1">
                <a:solidFill>
                  <a:schemeClr val="tx1"/>
                </a:solidFill>
                <a:effectLst/>
                <a:latin typeface="+mn-lt"/>
                <a:ea typeface="+mn-ea"/>
                <a:cs typeface="+mn-cs"/>
              </a:rPr>
              <a:t>Mais vous pouvez choisir de travailler sur un seul poste ou seulement quelques uns ! Si vous souhaitez une version plus simple, vous pouvez également travailler avec </a:t>
            </a:r>
            <a:r>
              <a:rPr lang="fr-FR" sz="1100" b="1" baseline="0">
                <a:solidFill>
                  <a:schemeClr val="tx1"/>
                </a:solidFill>
                <a:effectLst/>
                <a:latin typeface="+mn-lt"/>
                <a:ea typeface="+mn-ea"/>
                <a:cs typeface="+mn-cs"/>
              </a:rPr>
              <a:t>ImpactCharges, </a:t>
            </a:r>
            <a:r>
              <a:rPr lang="fr-FR" sz="1100" b="0" i="1" baseline="0">
                <a:solidFill>
                  <a:schemeClr val="tx1"/>
                </a:solidFill>
                <a:effectLst/>
                <a:latin typeface="+mn-lt"/>
                <a:ea typeface="+mn-ea"/>
                <a:cs typeface="+mn-cs"/>
              </a:rPr>
              <a:t>qui ne reprend que les principaux postes de charges en augmentation.</a:t>
            </a:r>
            <a:endParaRPr lang="fr-FR" sz="1100" b="0" i="1">
              <a:solidFill>
                <a:schemeClr val="tx1"/>
              </a:solidFill>
              <a:effectLst/>
              <a:latin typeface="+mn-lt"/>
              <a:ea typeface="+mn-ea"/>
              <a:cs typeface="+mn-cs"/>
            </a:endParaRPr>
          </a:p>
          <a:p>
            <a:pPr lvl="0"/>
            <a:endParaRPr lang="fr-FR" sz="1100" b="1">
              <a:solidFill>
                <a:schemeClr val="tx1"/>
              </a:solidFill>
              <a:effectLst/>
              <a:latin typeface="+mn-lt"/>
              <a:ea typeface="+mn-ea"/>
              <a:cs typeface="+mn-cs"/>
            </a:endParaRPr>
          </a:p>
          <a:p>
            <a:pPr lvl="0"/>
            <a:r>
              <a:rPr lang="fr-FR" sz="1100" b="1">
                <a:solidFill>
                  <a:schemeClr val="tx1"/>
                </a:solidFill>
                <a:effectLst/>
                <a:latin typeface="+mn-lt"/>
                <a:ea typeface="+mn-ea"/>
                <a:cs typeface="+mn-cs"/>
              </a:rPr>
              <a:t>Les informations sont</a:t>
            </a:r>
            <a:r>
              <a:rPr lang="fr-FR" sz="1100" b="1" baseline="0">
                <a:solidFill>
                  <a:schemeClr val="tx1"/>
                </a:solidFill>
                <a:effectLst/>
                <a:latin typeface="+mn-lt"/>
                <a:ea typeface="+mn-ea"/>
                <a:cs typeface="+mn-cs"/>
              </a:rPr>
              <a:t> à saisir dans l'ONGLET</a:t>
            </a:r>
            <a:r>
              <a:rPr lang="fr-FR" sz="1100">
                <a:solidFill>
                  <a:schemeClr val="tx1"/>
                </a:solidFill>
                <a:effectLst/>
                <a:latin typeface="+mn-lt"/>
                <a:ea typeface="+mn-ea"/>
                <a:cs typeface="+mn-cs"/>
              </a:rPr>
              <a:t> </a:t>
            </a:r>
          </a:p>
          <a:p>
            <a:pPr lvl="1"/>
            <a:r>
              <a:rPr lang="fr-FR" sz="1100">
                <a:solidFill>
                  <a:schemeClr val="tx1"/>
                </a:solidFill>
                <a:effectLst/>
                <a:latin typeface="+mn-lt"/>
                <a:ea typeface="+mn-ea"/>
                <a:cs typeface="+mn-cs"/>
              </a:rPr>
              <a:t>Pour chaque</a:t>
            </a:r>
            <a:r>
              <a:rPr lang="fr-FR" sz="1100" baseline="0">
                <a:solidFill>
                  <a:schemeClr val="tx1"/>
                </a:solidFill>
                <a:effectLst/>
                <a:latin typeface="+mn-lt"/>
                <a:ea typeface="+mn-ea"/>
                <a:cs typeface="+mn-cs"/>
              </a:rPr>
              <a:t> situation (une de départ et une ou deux finales)</a:t>
            </a:r>
            <a:endParaRPr lang="fr-FR" sz="1100">
              <a:solidFill>
                <a:schemeClr val="tx1"/>
              </a:solidFill>
              <a:effectLst/>
              <a:latin typeface="+mn-lt"/>
              <a:ea typeface="+mn-ea"/>
              <a:cs typeface="+mn-cs"/>
            </a:endParaRPr>
          </a:p>
          <a:p>
            <a:pPr lvl="2"/>
            <a:r>
              <a:rPr lang="fr-FR" sz="1100">
                <a:solidFill>
                  <a:schemeClr val="tx1"/>
                </a:solidFill>
                <a:effectLst/>
                <a:latin typeface="+mn-lt"/>
                <a:ea typeface="+mn-ea"/>
                <a:cs typeface="+mn-cs"/>
              </a:rPr>
              <a:t>- des rendements moyens, minimums et maximums de la culture, </a:t>
            </a:r>
          </a:p>
          <a:p>
            <a:pPr lvl="2"/>
            <a:r>
              <a:rPr lang="fr-FR" sz="1100">
                <a:solidFill>
                  <a:schemeClr val="tx1"/>
                </a:solidFill>
                <a:effectLst/>
                <a:latin typeface="+mn-lt"/>
                <a:ea typeface="+mn-ea"/>
                <a:cs typeface="+mn-cs"/>
              </a:rPr>
              <a:t>- des quantités à l’hectare et un prix d’achat, soit un cout direct par hectare pour chaque</a:t>
            </a:r>
            <a:r>
              <a:rPr lang="fr-FR" sz="1100" baseline="0">
                <a:solidFill>
                  <a:schemeClr val="tx1"/>
                </a:solidFill>
                <a:effectLst/>
                <a:latin typeface="+mn-lt"/>
                <a:ea typeface="+mn-ea"/>
                <a:cs typeface="+mn-cs"/>
              </a:rPr>
              <a:t> poste de charge</a:t>
            </a:r>
            <a:endParaRPr lang="fr-FR" sz="1100">
              <a:solidFill>
                <a:schemeClr val="tx1"/>
              </a:solidFill>
              <a:effectLst/>
              <a:latin typeface="+mn-lt"/>
              <a:ea typeface="+mn-ea"/>
              <a:cs typeface="+mn-cs"/>
            </a:endParaRPr>
          </a:p>
          <a:p>
            <a:pPr lvl="2"/>
            <a:r>
              <a:rPr lang="fr-FR" sz="1100">
                <a:solidFill>
                  <a:schemeClr val="tx1"/>
                </a:solidFill>
                <a:effectLst/>
                <a:latin typeface="+mn-lt"/>
                <a:ea typeface="+mn-ea"/>
                <a:cs typeface="+mn-cs"/>
              </a:rPr>
              <a:t>- si vous voulez calculer une marge : un prix de vente et un montant d’aide </a:t>
            </a:r>
          </a:p>
          <a:p>
            <a:pPr marL="0" lvl="1" algn="l"/>
            <a:endParaRPr lang="fr-FR" sz="1100" b="1">
              <a:solidFill>
                <a:schemeClr val="tx1"/>
              </a:solidFill>
              <a:effectLst/>
              <a:latin typeface="+mn-lt"/>
              <a:ea typeface="+mn-ea"/>
              <a:cs typeface="+mn-cs"/>
            </a:endParaRPr>
          </a:p>
          <a:p>
            <a:pPr marL="0" lvl="1" algn="l"/>
            <a:r>
              <a:rPr lang="fr-FR" sz="1100" b="1">
                <a:solidFill>
                  <a:schemeClr val="tx1"/>
                </a:solidFill>
                <a:effectLst/>
                <a:latin typeface="+mn-lt"/>
                <a:ea typeface="+mn-ea"/>
                <a:cs typeface="+mn-cs"/>
              </a:rPr>
              <a:t>Les</a:t>
            </a:r>
            <a:r>
              <a:rPr lang="fr-FR" sz="1100" b="1" baseline="0">
                <a:solidFill>
                  <a:schemeClr val="tx1"/>
                </a:solidFill>
                <a:effectLst/>
                <a:latin typeface="+mn-lt"/>
                <a:ea typeface="+mn-ea"/>
                <a:cs typeface="+mn-cs"/>
              </a:rPr>
              <a:t> résultats sont sous forme de tableaux et de graphiques récapitulés dans les ONGLETS </a:t>
            </a:r>
          </a:p>
          <a:p>
            <a:pPr marL="914400" lvl="3" algn="l"/>
            <a:r>
              <a:rPr lang="fr-FR" sz="1100" baseline="0">
                <a:solidFill>
                  <a:schemeClr val="tx1"/>
                </a:solidFill>
                <a:effectLst/>
                <a:latin typeface="+mn-lt"/>
                <a:ea typeface="+mn-ea"/>
                <a:cs typeface="+mn-cs"/>
              </a:rPr>
              <a:t>- Pour chaque situation, sont présentés : le montant détaillé des charges en €/ha et en €/t, le cout de production (€/t), le seuil de commercialisation (€/t) et la marge (€/ha). </a:t>
            </a:r>
          </a:p>
          <a:p>
            <a:pPr marL="914400" lvl="3" algn="l"/>
            <a:r>
              <a:rPr lang="fr-FR" sz="1100" baseline="0">
                <a:solidFill>
                  <a:schemeClr val="tx1"/>
                </a:solidFill>
                <a:effectLst/>
                <a:latin typeface="+mn-lt"/>
                <a:ea typeface="+mn-ea"/>
                <a:cs typeface="+mn-cs"/>
              </a:rPr>
              <a:t>- Entre situations, sont présentés les écarts de charges en €/ha et €/t.</a:t>
            </a:r>
          </a:p>
        </xdr:txBody>
      </xdr:sp>
      <xdr:sp macro="" textlink="">
        <xdr:nvSpPr>
          <xdr:cNvPr id="8" name="ZoneTexte 7">
            <a:extLst>
              <a:ext uri="{FF2B5EF4-FFF2-40B4-BE49-F238E27FC236}">
                <a16:creationId xmlns:a16="http://schemas.microsoft.com/office/drawing/2014/main" id="{7463DBEA-8752-4EBD-AB52-4B763EB8D06A}"/>
              </a:ext>
            </a:extLst>
          </xdr:cNvPr>
          <xdr:cNvSpPr txBox="1"/>
        </xdr:nvSpPr>
        <xdr:spPr>
          <a:xfrm>
            <a:off x="6107370" y="5849941"/>
            <a:ext cx="1362174" cy="249603"/>
          </a:xfrm>
          <a:prstGeom prst="rect">
            <a:avLst/>
          </a:prstGeom>
          <a:solidFill>
            <a:srgbClr val="CCFF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ysClr val="windowText" lastClr="000000"/>
                </a:solidFill>
              </a:rPr>
              <a:t>RESULTATS</a:t>
            </a:r>
            <a:r>
              <a:rPr lang="fr-FR" sz="1400" b="1" baseline="0">
                <a:solidFill>
                  <a:sysClr val="windowText" lastClr="000000"/>
                </a:solidFill>
              </a:rPr>
              <a:t> ...</a:t>
            </a:r>
            <a:endParaRPr lang="fr-FR" sz="1400" b="1">
              <a:solidFill>
                <a:sysClr val="windowText" lastClr="000000"/>
              </a:solidFill>
            </a:endParaRPr>
          </a:p>
        </xdr:txBody>
      </xdr:sp>
      <xdr:sp macro="" textlink="">
        <xdr:nvSpPr>
          <xdr:cNvPr id="9" name="ZoneTexte 8">
            <a:extLst>
              <a:ext uri="{FF2B5EF4-FFF2-40B4-BE49-F238E27FC236}">
                <a16:creationId xmlns:a16="http://schemas.microsoft.com/office/drawing/2014/main" id="{FF75BDE2-BD50-4CFD-87C4-055E5C4FE173}"/>
              </a:ext>
            </a:extLst>
          </xdr:cNvPr>
          <xdr:cNvSpPr txBox="1"/>
        </xdr:nvSpPr>
        <xdr:spPr>
          <a:xfrm>
            <a:off x="3256927" y="5051534"/>
            <a:ext cx="742950" cy="225895"/>
          </a:xfrm>
          <a:prstGeom prst="rect">
            <a:avLst/>
          </a:prstGeom>
          <a:solidFill>
            <a:srgbClr val="00B0F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chemeClr val="tx1"/>
                </a:solidFill>
              </a:rPr>
              <a:t>SAISIE</a:t>
            </a:r>
          </a:p>
        </xdr:txBody>
      </xdr:sp>
    </xdr:grpSp>
    <xdr:clientData/>
  </xdr:oneCellAnchor>
  <xdr:oneCellAnchor>
    <xdr:from>
      <xdr:col>7</xdr:col>
      <xdr:colOff>374507</xdr:colOff>
      <xdr:row>119</xdr:row>
      <xdr:rowOff>125908</xdr:rowOff>
    </xdr:from>
    <xdr:ext cx="12510220" cy="481245"/>
    <xdr:sp macro="" textlink="">
      <xdr:nvSpPr>
        <xdr:cNvPr id="51" name="ZoneTexte 50">
          <a:extLst>
            <a:ext uri="{FF2B5EF4-FFF2-40B4-BE49-F238E27FC236}">
              <a16:creationId xmlns:a16="http://schemas.microsoft.com/office/drawing/2014/main" id="{BEB2516F-43CD-4FA8-A339-9F050C6D84E6}"/>
            </a:ext>
          </a:extLst>
        </xdr:cNvPr>
        <xdr:cNvSpPr txBox="1"/>
      </xdr:nvSpPr>
      <xdr:spPr>
        <a:xfrm>
          <a:off x="5069772" y="24554732"/>
          <a:ext cx="12510220" cy="481245"/>
        </a:xfrm>
        <a:prstGeom prst="rect">
          <a:avLst/>
        </a:prstGeom>
        <a:solidFill>
          <a:sysClr val="window" lastClr="FFFFFF"/>
        </a:solidFill>
        <a:ln w="63500" cmpd="thickThi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oAutofit/>
        </a:bodyPr>
        <a:lstStyle/>
        <a:p>
          <a:pPr marL="0" indent="0" algn="ctr">
            <a:buFont typeface="Arial" panose="020B0604020202020204" pitchFamily="34" charset="0"/>
            <a:buNone/>
          </a:pPr>
          <a:r>
            <a:rPr lang="fr-FR" sz="1800">
              <a:solidFill>
                <a:srgbClr val="FF0000"/>
              </a:solidFill>
              <a:effectLst/>
              <a:latin typeface="+mn-lt"/>
              <a:ea typeface="+mn-ea"/>
              <a:cs typeface="+mn-cs"/>
            </a:rPr>
            <a:t>POUR SAUVEGARDER et IMPRIMER, vous devez utiliser les fonctions habituelles d'EXCEL, tableurs OpenOffice et LibreOffice </a:t>
          </a:r>
        </a:p>
      </xdr:txBody>
    </xdr:sp>
    <xdr:clientData fPrintsWithSheet="0"/>
  </xdr:oneCellAnchor>
  <xdr:oneCellAnchor>
    <xdr:from>
      <xdr:col>1</xdr:col>
      <xdr:colOff>4889</xdr:colOff>
      <xdr:row>113</xdr:row>
      <xdr:rowOff>118042</xdr:rowOff>
    </xdr:from>
    <xdr:ext cx="4824176" cy="1056409"/>
    <xdr:sp macro="" textlink="">
      <xdr:nvSpPr>
        <xdr:cNvPr id="214" name="ZoneTexte 213">
          <a:extLst>
            <a:ext uri="{FF2B5EF4-FFF2-40B4-BE49-F238E27FC236}">
              <a16:creationId xmlns:a16="http://schemas.microsoft.com/office/drawing/2014/main" id="{EE2EBC94-16EB-42FE-9B6F-75E8933C513C}"/>
            </a:ext>
          </a:extLst>
        </xdr:cNvPr>
        <xdr:cNvSpPr txBox="1"/>
      </xdr:nvSpPr>
      <xdr:spPr>
        <a:xfrm>
          <a:off x="128154" y="23403866"/>
          <a:ext cx="4824176" cy="1056409"/>
        </a:xfrm>
        <a:prstGeom prst="rect">
          <a:avLst/>
        </a:prstGeom>
        <a:solidFill>
          <a:schemeClr val="accent6"/>
        </a:solidFill>
        <a:ln w="63500" cmpd="thickThin">
          <a:solidFill>
            <a:schemeClr val="accent6">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buFont typeface="Arial" panose="020B0604020202020204" pitchFamily="34" charset="0"/>
            <a:buNone/>
          </a:pPr>
          <a:r>
            <a:rPr lang="fr-FR" sz="1800" b="0">
              <a:solidFill>
                <a:sysClr val="windowText" lastClr="000000"/>
              </a:solidFill>
              <a:effectLst/>
              <a:latin typeface="+mn-lt"/>
              <a:ea typeface="+mn-ea"/>
              <a:cs typeface="+mn-cs"/>
            </a:rPr>
            <a:t>Pour vous aider à mieux utiliser ImpactCoutProduction des vidéos tuto sont  disponibles sur la </a:t>
          </a:r>
          <a:r>
            <a:rPr lang="fr-FR" sz="1800" b="1">
              <a:solidFill>
                <a:sysClr val="windowText" lastClr="000000"/>
              </a:solidFill>
              <a:effectLst/>
              <a:latin typeface="+mn-lt"/>
              <a:ea typeface="+mn-ea"/>
              <a:cs typeface="+mn-cs"/>
            </a:rPr>
            <a:t>chaine</a:t>
          </a:r>
          <a:r>
            <a:rPr lang="fr-FR" sz="1800" b="1" baseline="0">
              <a:solidFill>
                <a:sysClr val="windowText" lastClr="000000"/>
              </a:solidFill>
              <a:effectLst/>
              <a:latin typeface="+mn-lt"/>
              <a:ea typeface="+mn-ea"/>
              <a:cs typeface="+mn-cs"/>
            </a:rPr>
            <a:t> Arvalis</a:t>
          </a:r>
          <a:endParaRPr lang="fr-FR" sz="1800" b="1">
            <a:solidFill>
              <a:sysClr val="windowText" lastClr="000000"/>
            </a:solidFill>
            <a:effectLst/>
            <a:latin typeface="+mn-lt"/>
            <a:ea typeface="+mn-ea"/>
            <a:cs typeface="+mn-cs"/>
          </a:endParaRPr>
        </a:p>
      </xdr:txBody>
    </xdr:sp>
    <xdr:clientData fPrintsWithSheet="0"/>
  </xdr:oneCellAnchor>
  <xdr:twoCellAnchor editAs="oneCell">
    <xdr:from>
      <xdr:col>0</xdr:col>
      <xdr:colOff>121226</xdr:colOff>
      <xdr:row>119</xdr:row>
      <xdr:rowOff>176491</xdr:rowOff>
    </xdr:from>
    <xdr:to>
      <xdr:col>7</xdr:col>
      <xdr:colOff>277090</xdr:colOff>
      <xdr:row>126</xdr:row>
      <xdr:rowOff>9803</xdr:rowOff>
    </xdr:to>
    <xdr:sp macro="" textlink="">
      <xdr:nvSpPr>
        <xdr:cNvPr id="215" name="ZoneTexte 214">
          <a:extLst>
            <a:ext uri="{FF2B5EF4-FFF2-40B4-BE49-F238E27FC236}">
              <a16:creationId xmlns:a16="http://schemas.microsoft.com/office/drawing/2014/main" id="{CDC0FCD1-FEAE-41FC-8D26-86124F87E3CE}"/>
            </a:ext>
          </a:extLst>
        </xdr:cNvPr>
        <xdr:cNvSpPr txBox="1"/>
      </xdr:nvSpPr>
      <xdr:spPr>
        <a:xfrm>
          <a:off x="121226" y="24605315"/>
          <a:ext cx="4851129" cy="1166812"/>
        </a:xfrm>
        <a:prstGeom prst="rect">
          <a:avLst/>
        </a:prstGeom>
        <a:solidFill>
          <a:sysClr val="window" lastClr="FFFFFF"/>
        </a:solidFill>
        <a:ln w="63500" cmpd="thickThin">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72000" rIns="72000" bIns="72000" rtlCol="0" anchor="ctr">
          <a:noAutofit/>
        </a:bodyPr>
        <a:lstStyle/>
        <a:p>
          <a:pPr marL="0" indent="0" algn="ctr">
            <a:buFont typeface="Arial" panose="020B0604020202020204" pitchFamily="34" charset="0"/>
            <a:buNone/>
          </a:pPr>
          <a:r>
            <a:rPr lang="fr-FR" sz="1600" b="0">
              <a:solidFill>
                <a:schemeClr val="tx1"/>
              </a:solidFill>
              <a:effectLst/>
              <a:latin typeface="+mn-lt"/>
              <a:ea typeface="+mn-ea"/>
              <a:cs typeface="+mn-cs"/>
            </a:rPr>
            <a:t>Pour une version plus simple et</a:t>
          </a:r>
          <a:r>
            <a:rPr lang="fr-FR" sz="1600" b="0" baseline="0">
              <a:solidFill>
                <a:schemeClr val="tx1"/>
              </a:solidFill>
              <a:effectLst/>
              <a:latin typeface="+mn-lt"/>
              <a:ea typeface="+mn-ea"/>
              <a:cs typeface="+mn-cs"/>
            </a:rPr>
            <a:t> mesurer uniquement l'impact sur les charges et la marge brute, vous pouvez télécharger ImpactCharges : http://oad.arvalis-infos.fr/impactcharges/</a:t>
          </a:r>
          <a:endParaRPr lang="fr-FR" sz="1600" b="0">
            <a:solidFill>
              <a:schemeClr val="tx1"/>
            </a:solidFill>
            <a:effectLst/>
            <a:latin typeface="+mn-lt"/>
            <a:ea typeface="+mn-ea"/>
            <a:cs typeface="+mn-cs"/>
          </a:endParaRPr>
        </a:p>
      </xdr:txBody>
    </xdr:sp>
    <xdr:clientData fPrintsWithSheet="0"/>
  </xdr:twoCellAnchor>
  <xdr:twoCellAnchor>
    <xdr:from>
      <xdr:col>1</xdr:col>
      <xdr:colOff>6999</xdr:colOff>
      <xdr:row>29</xdr:row>
      <xdr:rowOff>19713</xdr:rowOff>
    </xdr:from>
    <xdr:to>
      <xdr:col>25</xdr:col>
      <xdr:colOff>207818</xdr:colOff>
      <xdr:row>84</xdr:row>
      <xdr:rowOff>80597</xdr:rowOff>
    </xdr:to>
    <xdr:grpSp>
      <xdr:nvGrpSpPr>
        <xdr:cNvPr id="67" name="Groupe 66">
          <a:extLst>
            <a:ext uri="{FF2B5EF4-FFF2-40B4-BE49-F238E27FC236}">
              <a16:creationId xmlns:a16="http://schemas.microsoft.com/office/drawing/2014/main" id="{BEC253E8-CA28-4B97-9C07-3C1CF1229836}"/>
            </a:ext>
          </a:extLst>
        </xdr:cNvPr>
        <xdr:cNvGrpSpPr/>
      </xdr:nvGrpSpPr>
      <xdr:grpSpPr>
        <a:xfrm>
          <a:off x="130264" y="7303537"/>
          <a:ext cx="17446672" cy="10538384"/>
          <a:chOff x="147276" y="7224078"/>
          <a:chExt cx="17499951" cy="10538384"/>
        </a:xfrm>
      </xdr:grpSpPr>
      <xdr:sp macro="" textlink="">
        <xdr:nvSpPr>
          <xdr:cNvPr id="12" name="ZoneTexte 11">
            <a:extLst>
              <a:ext uri="{FF2B5EF4-FFF2-40B4-BE49-F238E27FC236}">
                <a16:creationId xmlns:a16="http://schemas.microsoft.com/office/drawing/2014/main" id="{14A26E21-4AD6-44B7-8372-2C2C66790A1F}"/>
              </a:ext>
            </a:extLst>
          </xdr:cNvPr>
          <xdr:cNvSpPr txBox="1"/>
        </xdr:nvSpPr>
        <xdr:spPr>
          <a:xfrm>
            <a:off x="272525" y="7313668"/>
            <a:ext cx="17374702" cy="10448794"/>
          </a:xfrm>
          <a:prstGeom prst="rect">
            <a:avLst/>
          </a:prstGeom>
          <a:noFill/>
          <a:ln w="63500" cmpd="thickThin">
            <a:solidFill>
              <a:srgbClr val="00B0F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buFont typeface="Arial" panose="020B0604020202020204" pitchFamily="34" charset="0"/>
              <a:buNone/>
            </a:pPr>
            <a:endParaRPr lang="fr-FR" sz="1100" baseline="0">
              <a:solidFill>
                <a:schemeClr val="tx1"/>
              </a:solidFill>
              <a:effectLst/>
              <a:latin typeface="+mn-lt"/>
              <a:ea typeface="+mn-ea"/>
              <a:cs typeface="+mn-cs"/>
            </a:endParaRPr>
          </a:p>
          <a:p>
            <a:pPr marL="0" indent="0">
              <a:buFont typeface="Arial" panose="020B0604020202020204" pitchFamily="34" charset="0"/>
              <a:buNone/>
            </a:pPr>
            <a:endParaRPr lang="fr-FR" sz="1100" baseline="0">
              <a:solidFill>
                <a:schemeClr val="tx1"/>
              </a:solidFill>
              <a:effectLst/>
              <a:latin typeface="+mn-lt"/>
              <a:ea typeface="+mn-ea"/>
              <a:cs typeface="+mn-cs"/>
            </a:endParaRPr>
          </a:p>
          <a:p>
            <a:pPr marL="0" indent="0">
              <a:buFont typeface="Arial" panose="020B0604020202020204" pitchFamily="34" charset="0"/>
              <a:buNone/>
            </a:pPr>
            <a:endParaRPr lang="fr-FR" sz="1100" baseline="0">
              <a:solidFill>
                <a:schemeClr val="tx1"/>
              </a:solidFill>
              <a:effectLst/>
              <a:latin typeface="+mn-lt"/>
              <a:ea typeface="+mn-ea"/>
              <a:cs typeface="+mn-cs"/>
            </a:endParaRPr>
          </a:p>
        </xdr:txBody>
      </xdr:sp>
      <xdr:grpSp>
        <xdr:nvGrpSpPr>
          <xdr:cNvPr id="48" name="Groupe 47">
            <a:extLst>
              <a:ext uri="{FF2B5EF4-FFF2-40B4-BE49-F238E27FC236}">
                <a16:creationId xmlns:a16="http://schemas.microsoft.com/office/drawing/2014/main" id="{A137F2C7-965F-4B52-AC4D-64071BEACEE9}"/>
              </a:ext>
            </a:extLst>
          </xdr:cNvPr>
          <xdr:cNvGrpSpPr/>
        </xdr:nvGrpSpPr>
        <xdr:grpSpPr>
          <a:xfrm>
            <a:off x="330661" y="7393014"/>
            <a:ext cx="12142767" cy="9929808"/>
            <a:chOff x="18945225" y="9001125"/>
            <a:chExt cx="13984650" cy="11468729"/>
          </a:xfrm>
        </xdr:grpSpPr>
        <xdr:pic>
          <xdr:nvPicPr>
            <xdr:cNvPr id="10" name="Image 9">
              <a:extLst>
                <a:ext uri="{FF2B5EF4-FFF2-40B4-BE49-F238E27FC236}">
                  <a16:creationId xmlns:a16="http://schemas.microsoft.com/office/drawing/2014/main" id="{0197267B-E01D-4AE9-98D2-65E5EAE2FE46}"/>
                </a:ext>
              </a:extLst>
            </xdr:cNvPr>
            <xdr:cNvPicPr>
              <a:picLocks noChangeAspect="1"/>
            </xdr:cNvPicPr>
          </xdr:nvPicPr>
          <xdr:blipFill>
            <a:blip xmlns:r="http://schemas.openxmlformats.org/officeDocument/2006/relationships" r:embed="rId3"/>
            <a:stretch>
              <a:fillRect/>
            </a:stretch>
          </xdr:blipFill>
          <xdr:spPr>
            <a:xfrm>
              <a:off x="18954750" y="9001125"/>
              <a:ext cx="13975125" cy="7030431"/>
            </a:xfrm>
            <a:prstGeom prst="rect">
              <a:avLst/>
            </a:prstGeom>
          </xdr:spPr>
        </xdr:pic>
        <xdr:pic>
          <xdr:nvPicPr>
            <xdr:cNvPr id="11" name="Image 10">
              <a:extLst>
                <a:ext uri="{FF2B5EF4-FFF2-40B4-BE49-F238E27FC236}">
                  <a16:creationId xmlns:a16="http://schemas.microsoft.com/office/drawing/2014/main" id="{54E1595C-BF0D-4E9E-8A77-1A56F8685EB6}"/>
                </a:ext>
              </a:extLst>
            </xdr:cNvPr>
            <xdr:cNvPicPr>
              <a:picLocks noChangeAspect="1"/>
            </xdr:cNvPicPr>
          </xdr:nvPicPr>
          <xdr:blipFill>
            <a:blip xmlns:r="http://schemas.openxmlformats.org/officeDocument/2006/relationships" r:embed="rId4"/>
            <a:stretch>
              <a:fillRect/>
            </a:stretch>
          </xdr:blipFill>
          <xdr:spPr>
            <a:xfrm>
              <a:off x="18945225" y="15963900"/>
              <a:ext cx="13975125" cy="4505954"/>
            </a:xfrm>
            <a:prstGeom prst="rect">
              <a:avLst/>
            </a:prstGeom>
          </xdr:spPr>
        </xdr:pic>
      </xdr:grpSp>
      <xdr:sp macro="" textlink="">
        <xdr:nvSpPr>
          <xdr:cNvPr id="13" name="Ellipse 12">
            <a:extLst>
              <a:ext uri="{FF2B5EF4-FFF2-40B4-BE49-F238E27FC236}">
                <a16:creationId xmlns:a16="http://schemas.microsoft.com/office/drawing/2014/main" id="{C235BA03-8E99-4519-9EB7-64F5E60FA41F}"/>
              </a:ext>
            </a:extLst>
          </xdr:cNvPr>
          <xdr:cNvSpPr/>
        </xdr:nvSpPr>
        <xdr:spPr>
          <a:xfrm>
            <a:off x="8041729" y="10638617"/>
            <a:ext cx="899433" cy="174171"/>
          </a:xfrm>
          <a:prstGeom prst="ellipse">
            <a:avLst/>
          </a:prstGeom>
          <a:no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 name="Ellipse 13">
            <a:extLst>
              <a:ext uri="{FF2B5EF4-FFF2-40B4-BE49-F238E27FC236}">
                <a16:creationId xmlns:a16="http://schemas.microsoft.com/office/drawing/2014/main" id="{11A81765-36C4-42F5-BB89-C87A4F9A9DC8}"/>
              </a:ext>
            </a:extLst>
          </xdr:cNvPr>
          <xdr:cNvSpPr/>
        </xdr:nvSpPr>
        <xdr:spPr>
          <a:xfrm>
            <a:off x="8982381" y="10803262"/>
            <a:ext cx="545645" cy="174173"/>
          </a:xfrm>
          <a:prstGeom prst="ellipse">
            <a:avLst/>
          </a:prstGeom>
          <a:no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5" name="Ellipse 14">
            <a:extLst>
              <a:ext uri="{FF2B5EF4-FFF2-40B4-BE49-F238E27FC236}">
                <a16:creationId xmlns:a16="http://schemas.microsoft.com/office/drawing/2014/main" id="{913CC81A-B352-4B5F-8F53-C4865CAEBC33}"/>
              </a:ext>
            </a:extLst>
          </xdr:cNvPr>
          <xdr:cNvSpPr/>
        </xdr:nvSpPr>
        <xdr:spPr>
          <a:xfrm>
            <a:off x="9614807" y="12790962"/>
            <a:ext cx="1042635" cy="158385"/>
          </a:xfrm>
          <a:prstGeom prst="ellipse">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6" name="Ellipse 15">
            <a:extLst>
              <a:ext uri="{FF2B5EF4-FFF2-40B4-BE49-F238E27FC236}">
                <a16:creationId xmlns:a16="http://schemas.microsoft.com/office/drawing/2014/main" id="{223C8FC6-2A76-400A-8E63-C9FE53760412}"/>
              </a:ext>
            </a:extLst>
          </xdr:cNvPr>
          <xdr:cNvSpPr/>
        </xdr:nvSpPr>
        <xdr:spPr>
          <a:xfrm>
            <a:off x="10166372" y="13281870"/>
            <a:ext cx="517922" cy="163117"/>
          </a:xfrm>
          <a:prstGeom prst="ellipse">
            <a:avLst/>
          </a:prstGeom>
          <a:noFill/>
          <a:ln>
            <a:solidFill>
              <a:srgbClr val="CC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xnSp macro="">
        <xdr:nvCxnSpPr>
          <xdr:cNvPr id="18" name="Connecteur droit avec flèche 17">
            <a:extLst>
              <a:ext uri="{FF2B5EF4-FFF2-40B4-BE49-F238E27FC236}">
                <a16:creationId xmlns:a16="http://schemas.microsoft.com/office/drawing/2014/main" id="{719A09BF-DD52-4851-8B40-D745A7FB49D7}"/>
              </a:ext>
            </a:extLst>
          </xdr:cNvPr>
          <xdr:cNvCxnSpPr>
            <a:endCxn id="13" idx="6"/>
          </xdr:cNvCxnSpPr>
        </xdr:nvCxnSpPr>
        <xdr:spPr>
          <a:xfrm flipH="1">
            <a:off x="8941163" y="9973942"/>
            <a:ext cx="4013033" cy="751761"/>
          </a:xfrm>
          <a:prstGeom prst="straightConnector1">
            <a:avLst/>
          </a:prstGeom>
          <a:ln w="38100">
            <a:solidFill>
              <a:schemeClr val="accent3">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 name="Connecteur droit avec flèche 18">
            <a:extLst>
              <a:ext uri="{FF2B5EF4-FFF2-40B4-BE49-F238E27FC236}">
                <a16:creationId xmlns:a16="http://schemas.microsoft.com/office/drawing/2014/main" id="{6D00BE07-4CDF-4DBE-8F75-AB0524961A6D}"/>
              </a:ext>
            </a:extLst>
          </xdr:cNvPr>
          <xdr:cNvCxnSpPr>
            <a:endCxn id="14" idx="6"/>
          </xdr:cNvCxnSpPr>
        </xdr:nvCxnSpPr>
        <xdr:spPr>
          <a:xfrm flipH="1">
            <a:off x="9528026" y="10171769"/>
            <a:ext cx="3374707" cy="718580"/>
          </a:xfrm>
          <a:prstGeom prst="straightConnector1">
            <a:avLst/>
          </a:prstGeom>
          <a:ln w="38100">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Ellipse 20">
            <a:extLst>
              <a:ext uri="{FF2B5EF4-FFF2-40B4-BE49-F238E27FC236}">
                <a16:creationId xmlns:a16="http://schemas.microsoft.com/office/drawing/2014/main" id="{2BCAFF59-85A5-417E-9482-618AAD6F9C7A}"/>
              </a:ext>
            </a:extLst>
          </xdr:cNvPr>
          <xdr:cNvSpPr/>
        </xdr:nvSpPr>
        <xdr:spPr>
          <a:xfrm>
            <a:off x="10670935" y="12789135"/>
            <a:ext cx="545645" cy="178255"/>
          </a:xfrm>
          <a:prstGeom prst="ellipse">
            <a:avLst/>
          </a:prstGeom>
          <a:no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xnSp macro="">
        <xdr:nvCxnSpPr>
          <xdr:cNvPr id="22" name="Connecteur droit avec flèche 21">
            <a:extLst>
              <a:ext uri="{FF2B5EF4-FFF2-40B4-BE49-F238E27FC236}">
                <a16:creationId xmlns:a16="http://schemas.microsoft.com/office/drawing/2014/main" id="{282DBCF9-E544-4190-B63B-01404B511E92}"/>
              </a:ext>
            </a:extLst>
          </xdr:cNvPr>
          <xdr:cNvCxnSpPr>
            <a:endCxn id="21" idx="6"/>
          </xdr:cNvCxnSpPr>
        </xdr:nvCxnSpPr>
        <xdr:spPr>
          <a:xfrm flipH="1">
            <a:off x="11216580" y="11942017"/>
            <a:ext cx="1724992" cy="936246"/>
          </a:xfrm>
          <a:prstGeom prst="straightConnector1">
            <a:avLst/>
          </a:prstGeom>
          <a:ln w="38100">
            <a:solidFill>
              <a:schemeClr val="tx2">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ZoneTexte 22">
            <a:extLst>
              <a:ext uri="{FF2B5EF4-FFF2-40B4-BE49-F238E27FC236}">
                <a16:creationId xmlns:a16="http://schemas.microsoft.com/office/drawing/2014/main" id="{45382BAA-01CD-411E-AB53-0FC8AB75E96E}"/>
              </a:ext>
            </a:extLst>
          </xdr:cNvPr>
          <xdr:cNvSpPr txBox="1"/>
        </xdr:nvSpPr>
        <xdr:spPr>
          <a:xfrm>
            <a:off x="12791396" y="12267721"/>
            <a:ext cx="4706124" cy="452058"/>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a:t>Si</a:t>
            </a:r>
            <a:r>
              <a:rPr lang="fr-FR" sz="1100" b="0" baseline="0"/>
              <a:t> vous regardez le </a:t>
            </a:r>
            <a:r>
              <a:rPr lang="fr-FR" sz="1100" b="1" baseline="0"/>
              <a:t>SECHAGE </a:t>
            </a:r>
            <a:r>
              <a:rPr lang="fr-FR" sz="1100" b="0" baseline="0"/>
              <a:t>d'une culture (maïs, sorgho, tournesol...) saisissez directement le cout </a:t>
            </a:r>
            <a:r>
              <a:rPr lang="fr-FR" sz="1100" b="1" baseline="0"/>
              <a:t>en € par tonne </a:t>
            </a:r>
            <a:r>
              <a:rPr lang="fr-FR" sz="1100" b="0" baseline="0"/>
              <a:t>du barême </a:t>
            </a:r>
            <a:r>
              <a:rPr lang="fr-FR" sz="1100" b="0"/>
              <a:t>: </a:t>
            </a:r>
            <a:r>
              <a:rPr lang="fr-FR" sz="1100" b="1">
                <a:solidFill>
                  <a:srgbClr val="CC9900"/>
                </a:solidFill>
              </a:rPr>
              <a:t>exemple de</a:t>
            </a:r>
            <a:r>
              <a:rPr lang="fr-FR" sz="1100" b="1" baseline="0">
                <a:solidFill>
                  <a:srgbClr val="CC9900"/>
                </a:solidFill>
              </a:rPr>
              <a:t> 30 €/t</a:t>
            </a:r>
            <a:endParaRPr lang="fr-FR" sz="1100" b="1">
              <a:solidFill>
                <a:srgbClr val="CC9900"/>
              </a:solidFill>
            </a:endParaRPr>
          </a:p>
        </xdr:txBody>
      </xdr:sp>
      <xdr:cxnSp macro="">
        <xdr:nvCxnSpPr>
          <xdr:cNvPr id="24" name="Connecteur droit avec flèche 23">
            <a:extLst>
              <a:ext uri="{FF2B5EF4-FFF2-40B4-BE49-F238E27FC236}">
                <a16:creationId xmlns:a16="http://schemas.microsoft.com/office/drawing/2014/main" id="{15E8354F-85D4-4725-8E2F-306A66B496A8}"/>
              </a:ext>
            </a:extLst>
          </xdr:cNvPr>
          <xdr:cNvCxnSpPr>
            <a:stCxn id="23" idx="1"/>
            <a:endCxn id="16" idx="6"/>
          </xdr:cNvCxnSpPr>
        </xdr:nvCxnSpPr>
        <xdr:spPr>
          <a:xfrm flipH="1">
            <a:off x="10684294" y="12493750"/>
            <a:ext cx="2107102" cy="869679"/>
          </a:xfrm>
          <a:prstGeom prst="straightConnector1">
            <a:avLst/>
          </a:prstGeom>
          <a:ln w="38100">
            <a:solidFill>
              <a:srgbClr val="CC99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5" name="Connecteur droit avec flèche 24">
            <a:extLst>
              <a:ext uri="{FF2B5EF4-FFF2-40B4-BE49-F238E27FC236}">
                <a16:creationId xmlns:a16="http://schemas.microsoft.com/office/drawing/2014/main" id="{76643D39-0277-42D6-96D7-1B9CFE6C91E2}"/>
              </a:ext>
            </a:extLst>
          </xdr:cNvPr>
          <xdr:cNvCxnSpPr>
            <a:endCxn id="15" idx="7"/>
          </xdr:cNvCxnSpPr>
        </xdr:nvCxnSpPr>
        <xdr:spPr>
          <a:xfrm flipH="1">
            <a:off x="10504752" y="11762758"/>
            <a:ext cx="2510358" cy="1051399"/>
          </a:xfrm>
          <a:prstGeom prst="straightConnector1">
            <a:avLst/>
          </a:prstGeom>
          <a:ln w="381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ZoneTexte 25">
            <a:extLst>
              <a:ext uri="{FF2B5EF4-FFF2-40B4-BE49-F238E27FC236}">
                <a16:creationId xmlns:a16="http://schemas.microsoft.com/office/drawing/2014/main" id="{0FAAD740-D650-4360-A13C-2E94F9B0573F}"/>
              </a:ext>
            </a:extLst>
          </xdr:cNvPr>
          <xdr:cNvSpPr txBox="1"/>
        </xdr:nvSpPr>
        <xdr:spPr>
          <a:xfrm>
            <a:off x="12777791" y="7430972"/>
            <a:ext cx="4719729" cy="615441"/>
          </a:xfrm>
          <a:prstGeom prst="rect">
            <a:avLst/>
          </a:prstGeom>
          <a:solidFill>
            <a:srgbClr val="FF99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Pour vous repérer sur ce que vous voulez calculer,</a:t>
            </a:r>
            <a:r>
              <a:rPr lang="fr-FR" sz="1100" baseline="0"/>
              <a:t> entrez un nom pour chaque situation. Par exemple ici : </a:t>
            </a:r>
            <a:r>
              <a:rPr lang="fr-FR" sz="1100" b="1" baseline="0">
                <a:solidFill>
                  <a:schemeClr val="tx1"/>
                </a:solidFill>
              </a:rPr>
              <a:t>"Situation 2021", "Situation 2022" </a:t>
            </a:r>
            <a:r>
              <a:rPr lang="fr-FR" sz="1100" b="0" baseline="0">
                <a:solidFill>
                  <a:schemeClr val="tx1"/>
                </a:solidFill>
              </a:rPr>
              <a:t>et</a:t>
            </a:r>
            <a:r>
              <a:rPr lang="fr-FR" sz="1100" b="1" baseline="0">
                <a:solidFill>
                  <a:schemeClr val="tx1"/>
                </a:solidFill>
              </a:rPr>
              <a:t> "Situation 2023" </a:t>
            </a:r>
            <a:r>
              <a:rPr lang="fr-FR" sz="1100" b="0" baseline="0">
                <a:solidFill>
                  <a:schemeClr val="tx1"/>
                </a:solidFill>
              </a:rPr>
              <a:t>(une situation de départ et au moins une situation future)</a:t>
            </a:r>
            <a:endParaRPr lang="fr-FR" sz="1100" b="0">
              <a:solidFill>
                <a:schemeClr val="tx1"/>
              </a:solidFill>
            </a:endParaRPr>
          </a:p>
        </xdr:txBody>
      </xdr:sp>
      <xdr:sp macro="" textlink="">
        <xdr:nvSpPr>
          <xdr:cNvPr id="27" name="ZoneTexte 26">
            <a:extLst>
              <a:ext uri="{FF2B5EF4-FFF2-40B4-BE49-F238E27FC236}">
                <a16:creationId xmlns:a16="http://schemas.microsoft.com/office/drawing/2014/main" id="{68608978-F002-436C-B0AF-1629C5489925}"/>
              </a:ext>
            </a:extLst>
          </xdr:cNvPr>
          <xdr:cNvSpPr txBox="1"/>
        </xdr:nvSpPr>
        <xdr:spPr>
          <a:xfrm>
            <a:off x="12791397" y="8139771"/>
            <a:ext cx="4713474" cy="947195"/>
          </a:xfrm>
          <a:prstGeom prst="rect">
            <a:avLst/>
          </a:prstGeom>
          <a:solidFill>
            <a:schemeClr val="accent4">
              <a:lumMod val="60000"/>
              <a:lumOff val="40000"/>
            </a:schemeClr>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Pour la</a:t>
            </a:r>
            <a:r>
              <a:rPr lang="fr-FR" sz="1100" baseline="0"/>
              <a:t> situation de départ et chaque situation future, s</a:t>
            </a:r>
            <a:r>
              <a:rPr lang="fr-FR" sz="1100"/>
              <a:t>aisissez</a:t>
            </a:r>
            <a:r>
              <a:rPr lang="fr-FR" sz="1100" baseline="0"/>
              <a:t> le </a:t>
            </a:r>
            <a:r>
              <a:rPr lang="fr-FR" sz="1100" b="1" baseline="0">
                <a:solidFill>
                  <a:sysClr val="windowText" lastClr="000000"/>
                </a:solidFill>
              </a:rPr>
              <a:t>RENDEMENT</a:t>
            </a:r>
            <a:r>
              <a:rPr lang="fr-FR" sz="1100" baseline="0">
                <a:solidFill>
                  <a:sysClr val="windowText" lastClr="000000"/>
                </a:solidFill>
              </a:rPr>
              <a:t> </a:t>
            </a:r>
            <a:r>
              <a:rPr lang="fr-FR" sz="1100" b="1" baseline="0">
                <a:solidFill>
                  <a:sysClr val="windowText" lastClr="000000"/>
                </a:solidFill>
              </a:rPr>
              <a:t>(rdt) </a:t>
            </a:r>
            <a:r>
              <a:rPr lang="fr-FR" sz="1100" baseline="0">
                <a:solidFill>
                  <a:sysClr val="windowText" lastClr="000000"/>
                </a:solidFill>
              </a:rPr>
              <a:t>moyen et si vous le souhaitez, les </a:t>
            </a:r>
            <a:r>
              <a:rPr lang="fr-FR" sz="1100" b="1" baseline="0">
                <a:solidFill>
                  <a:sysClr val="windowText" lastClr="000000"/>
                </a:solidFill>
              </a:rPr>
              <a:t>RENDEMENTS</a:t>
            </a:r>
            <a:r>
              <a:rPr lang="fr-FR" sz="1100" baseline="0">
                <a:solidFill>
                  <a:sysClr val="windowText" lastClr="000000"/>
                </a:solidFill>
              </a:rPr>
              <a:t> minimum et maximum pour évaluer les variations de cout de production/marge en cas d'aléa climatique.</a:t>
            </a:r>
          </a:p>
          <a:p>
            <a:r>
              <a:rPr lang="fr-FR" sz="1100" b="0" baseline="0">
                <a:solidFill>
                  <a:sysClr val="windowText" lastClr="000000"/>
                </a:solidFill>
              </a:rPr>
              <a:t>Tous les rendements peuvent être différents d'une situation à l'autre.</a:t>
            </a:r>
            <a:endParaRPr lang="fr-FR" sz="1100" b="0">
              <a:solidFill>
                <a:sysClr val="windowText" lastClr="000000"/>
              </a:solidFill>
            </a:endParaRPr>
          </a:p>
        </xdr:txBody>
      </xdr:sp>
      <xdr:cxnSp macro="">
        <xdr:nvCxnSpPr>
          <xdr:cNvPr id="28" name="Connecteur droit avec flèche 27">
            <a:extLst>
              <a:ext uri="{FF2B5EF4-FFF2-40B4-BE49-F238E27FC236}">
                <a16:creationId xmlns:a16="http://schemas.microsoft.com/office/drawing/2014/main" id="{E9AB4D7D-E53F-4AA5-A549-1647635DDF7E}"/>
              </a:ext>
            </a:extLst>
          </xdr:cNvPr>
          <xdr:cNvCxnSpPr>
            <a:stCxn id="27" idx="1"/>
          </xdr:cNvCxnSpPr>
        </xdr:nvCxnSpPr>
        <xdr:spPr>
          <a:xfrm flipH="1">
            <a:off x="11117332" y="8613369"/>
            <a:ext cx="1674065" cy="332710"/>
          </a:xfrm>
          <a:prstGeom prst="straightConnector1">
            <a:avLst/>
          </a:prstGeom>
          <a:ln w="3810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ZoneTexte 28">
            <a:extLst>
              <a:ext uri="{FF2B5EF4-FFF2-40B4-BE49-F238E27FC236}">
                <a16:creationId xmlns:a16="http://schemas.microsoft.com/office/drawing/2014/main" id="{FB575D61-A7BF-4FEA-9BF9-29708ACE1D65}"/>
              </a:ext>
            </a:extLst>
          </xdr:cNvPr>
          <xdr:cNvSpPr txBox="1"/>
        </xdr:nvSpPr>
        <xdr:spPr>
          <a:xfrm>
            <a:off x="12813733" y="16396277"/>
            <a:ext cx="4691139" cy="26682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Saisissez</a:t>
            </a:r>
            <a:r>
              <a:rPr lang="fr-FR" sz="1100" baseline="0"/>
              <a:t> le </a:t>
            </a:r>
            <a:r>
              <a:rPr lang="fr-FR" sz="1100" b="1" baseline="0"/>
              <a:t>PRIX</a:t>
            </a:r>
            <a:r>
              <a:rPr lang="fr-FR" sz="1100" baseline="0"/>
              <a:t> et les </a:t>
            </a:r>
            <a:r>
              <a:rPr lang="fr-FR" sz="1100" b="1" baseline="0"/>
              <a:t>AIDES</a:t>
            </a:r>
            <a:r>
              <a:rPr lang="fr-FR" sz="1100" baseline="0"/>
              <a:t> pour une estimation de la marge par hectare </a:t>
            </a:r>
            <a:endParaRPr lang="fr-FR" sz="1100" b="1">
              <a:solidFill>
                <a:schemeClr val="accent3"/>
              </a:solidFill>
            </a:endParaRPr>
          </a:p>
        </xdr:txBody>
      </xdr:sp>
      <xdr:cxnSp macro="">
        <xdr:nvCxnSpPr>
          <xdr:cNvPr id="30" name="Connecteur droit avec flèche 29">
            <a:extLst>
              <a:ext uri="{FF2B5EF4-FFF2-40B4-BE49-F238E27FC236}">
                <a16:creationId xmlns:a16="http://schemas.microsoft.com/office/drawing/2014/main" id="{7C1474A2-C879-4E47-BC20-B73075F4168D}"/>
              </a:ext>
            </a:extLst>
          </xdr:cNvPr>
          <xdr:cNvCxnSpPr>
            <a:stCxn id="29" idx="1"/>
            <a:endCxn id="180" idx="6"/>
          </xdr:cNvCxnSpPr>
        </xdr:nvCxnSpPr>
        <xdr:spPr>
          <a:xfrm flipH="1">
            <a:off x="10691261" y="16529690"/>
            <a:ext cx="2122472" cy="510222"/>
          </a:xfrm>
          <a:prstGeom prst="straightConnector1">
            <a:avLst/>
          </a:prstGeom>
          <a:ln w="381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1" name="Connecteur droit avec flèche 30">
            <a:extLst>
              <a:ext uri="{FF2B5EF4-FFF2-40B4-BE49-F238E27FC236}">
                <a16:creationId xmlns:a16="http://schemas.microsoft.com/office/drawing/2014/main" id="{74AF44D2-E199-497F-9473-730790A8408F}"/>
              </a:ext>
            </a:extLst>
          </xdr:cNvPr>
          <xdr:cNvCxnSpPr>
            <a:stCxn id="29" idx="1"/>
            <a:endCxn id="183" idx="6"/>
          </xdr:cNvCxnSpPr>
        </xdr:nvCxnSpPr>
        <xdr:spPr>
          <a:xfrm flipH="1">
            <a:off x="11229186" y="16529690"/>
            <a:ext cx="1584547" cy="675760"/>
          </a:xfrm>
          <a:prstGeom prst="straightConnector1">
            <a:avLst/>
          </a:prstGeom>
          <a:ln w="381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grpSp>
        <xdr:nvGrpSpPr>
          <xdr:cNvPr id="32" name="Groupe 31">
            <a:extLst>
              <a:ext uri="{FF2B5EF4-FFF2-40B4-BE49-F238E27FC236}">
                <a16:creationId xmlns:a16="http://schemas.microsoft.com/office/drawing/2014/main" id="{AC233040-96F2-41FE-810F-46E3199A7793}"/>
              </a:ext>
            </a:extLst>
          </xdr:cNvPr>
          <xdr:cNvGrpSpPr/>
        </xdr:nvGrpSpPr>
        <xdr:grpSpPr>
          <a:xfrm>
            <a:off x="830452" y="7359163"/>
            <a:ext cx="2007990" cy="468840"/>
            <a:chOff x="355599" y="3711214"/>
            <a:chExt cx="1081156" cy="295275"/>
          </a:xfrm>
        </xdr:grpSpPr>
        <xdr:sp macro="" textlink="">
          <xdr:nvSpPr>
            <xdr:cNvPr id="36" name="ZoneTexte 35">
              <a:extLst>
                <a:ext uri="{FF2B5EF4-FFF2-40B4-BE49-F238E27FC236}">
                  <a16:creationId xmlns:a16="http://schemas.microsoft.com/office/drawing/2014/main" id="{40233501-5215-4ECF-9F7E-8E3250C58C5D}"/>
                </a:ext>
              </a:extLst>
            </xdr:cNvPr>
            <xdr:cNvSpPr txBox="1"/>
          </xdr:nvSpPr>
          <xdr:spPr>
            <a:xfrm>
              <a:off x="918775" y="3741209"/>
              <a:ext cx="517980" cy="193306"/>
            </a:xfrm>
            <a:prstGeom prst="rect">
              <a:avLst/>
            </a:prstGeom>
            <a:solidFill>
              <a:srgbClr val="00B0F0"/>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solidFill>
                    <a:schemeClr val="tx1"/>
                  </a:solidFill>
                </a:rPr>
                <a:t>SAISIE</a:t>
              </a:r>
            </a:p>
          </xdr:txBody>
        </xdr:sp>
        <xdr:sp macro="" textlink="">
          <xdr:nvSpPr>
            <xdr:cNvPr id="37" name="ZoneTexte 36">
              <a:extLst>
                <a:ext uri="{FF2B5EF4-FFF2-40B4-BE49-F238E27FC236}">
                  <a16:creationId xmlns:a16="http://schemas.microsoft.com/office/drawing/2014/main" id="{DE3FE6DA-936E-4AFE-A473-4AE07FD49238}"/>
                </a:ext>
              </a:extLst>
            </xdr:cNvPr>
            <xdr:cNvSpPr txBox="1"/>
          </xdr:nvSpPr>
          <xdr:spPr>
            <a:xfrm>
              <a:off x="355599" y="3711214"/>
              <a:ext cx="5939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000" b="1">
                  <a:solidFill>
                    <a:schemeClr val="tx1"/>
                  </a:solidFill>
                </a:rPr>
                <a:t>Onglet</a:t>
              </a:r>
              <a:endParaRPr lang="fr-FR" sz="1800" b="1">
                <a:solidFill>
                  <a:schemeClr val="tx1"/>
                </a:solidFill>
              </a:endParaRPr>
            </a:p>
          </xdr:txBody>
        </xdr:sp>
      </xdr:grpSp>
      <xdr:cxnSp macro="">
        <xdr:nvCxnSpPr>
          <xdr:cNvPr id="33" name="Connecteur droit avec flèche 32">
            <a:extLst>
              <a:ext uri="{FF2B5EF4-FFF2-40B4-BE49-F238E27FC236}">
                <a16:creationId xmlns:a16="http://schemas.microsoft.com/office/drawing/2014/main" id="{C5639A3F-FC31-4783-8C66-32DFC79444E1}"/>
              </a:ext>
            </a:extLst>
          </xdr:cNvPr>
          <xdr:cNvCxnSpPr>
            <a:stCxn id="26" idx="1"/>
          </xdr:cNvCxnSpPr>
        </xdr:nvCxnSpPr>
        <xdr:spPr>
          <a:xfrm flipH="1">
            <a:off x="7874826" y="7738693"/>
            <a:ext cx="4902965" cy="634292"/>
          </a:xfrm>
          <a:prstGeom prst="straightConnector1">
            <a:avLst/>
          </a:prstGeom>
          <a:ln w="38100">
            <a:solidFill>
              <a:srgbClr val="CC00CC"/>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4" name="Connecteur droit avec flèche 33">
            <a:extLst>
              <a:ext uri="{FF2B5EF4-FFF2-40B4-BE49-F238E27FC236}">
                <a16:creationId xmlns:a16="http://schemas.microsoft.com/office/drawing/2014/main" id="{43325E17-3405-4AEB-9428-357783444FBA}"/>
              </a:ext>
            </a:extLst>
          </xdr:cNvPr>
          <xdr:cNvCxnSpPr>
            <a:stCxn id="26" idx="1"/>
          </xdr:cNvCxnSpPr>
        </xdr:nvCxnSpPr>
        <xdr:spPr>
          <a:xfrm flipH="1">
            <a:off x="9497787" y="7738693"/>
            <a:ext cx="3280004" cy="647899"/>
          </a:xfrm>
          <a:prstGeom prst="straightConnector1">
            <a:avLst/>
          </a:prstGeom>
          <a:ln w="38100">
            <a:solidFill>
              <a:srgbClr val="CC00CC"/>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Rectangle : coins arrondis 34">
            <a:extLst>
              <a:ext uri="{FF2B5EF4-FFF2-40B4-BE49-F238E27FC236}">
                <a16:creationId xmlns:a16="http://schemas.microsoft.com/office/drawing/2014/main" id="{356AC754-90F6-40EC-8D3C-154E284BE3B7}"/>
              </a:ext>
            </a:extLst>
          </xdr:cNvPr>
          <xdr:cNvSpPr/>
        </xdr:nvSpPr>
        <xdr:spPr>
          <a:xfrm>
            <a:off x="147276" y="7224078"/>
            <a:ext cx="641102" cy="631314"/>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000" b="1"/>
              <a:t>1</a:t>
            </a:r>
          </a:p>
        </xdr:txBody>
      </xdr:sp>
      <xdr:cxnSp macro="">
        <xdr:nvCxnSpPr>
          <xdr:cNvPr id="79" name="Connecteur droit avec flèche 78">
            <a:extLst>
              <a:ext uri="{FF2B5EF4-FFF2-40B4-BE49-F238E27FC236}">
                <a16:creationId xmlns:a16="http://schemas.microsoft.com/office/drawing/2014/main" id="{6C412AE3-5879-44B3-A959-32D1797C4CF6}"/>
              </a:ext>
            </a:extLst>
          </xdr:cNvPr>
          <xdr:cNvCxnSpPr>
            <a:stCxn id="27" idx="1"/>
          </xdr:cNvCxnSpPr>
        </xdr:nvCxnSpPr>
        <xdr:spPr>
          <a:xfrm flipH="1">
            <a:off x="11109980" y="8613369"/>
            <a:ext cx="1681416" cy="495996"/>
          </a:xfrm>
          <a:prstGeom prst="straightConnector1">
            <a:avLst/>
          </a:prstGeom>
          <a:ln w="3810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necteur droit avec flèche 79">
            <a:extLst>
              <a:ext uri="{FF2B5EF4-FFF2-40B4-BE49-F238E27FC236}">
                <a16:creationId xmlns:a16="http://schemas.microsoft.com/office/drawing/2014/main" id="{47A873BE-B547-44F3-9D44-CBB6E921174E}"/>
              </a:ext>
            </a:extLst>
          </xdr:cNvPr>
          <xdr:cNvCxnSpPr>
            <a:stCxn id="27" idx="1"/>
          </xdr:cNvCxnSpPr>
        </xdr:nvCxnSpPr>
        <xdr:spPr>
          <a:xfrm flipH="1">
            <a:off x="11109980" y="8613369"/>
            <a:ext cx="1681416" cy="651954"/>
          </a:xfrm>
          <a:prstGeom prst="straightConnector1">
            <a:avLst/>
          </a:prstGeom>
          <a:ln w="3810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6" name="Connecteur droit avec flèche 95">
            <a:extLst>
              <a:ext uri="{FF2B5EF4-FFF2-40B4-BE49-F238E27FC236}">
                <a16:creationId xmlns:a16="http://schemas.microsoft.com/office/drawing/2014/main" id="{F2F49FFC-C831-4643-A937-8D0D41EF9C63}"/>
              </a:ext>
            </a:extLst>
          </xdr:cNvPr>
          <xdr:cNvCxnSpPr>
            <a:stCxn id="26" idx="1"/>
          </xdr:cNvCxnSpPr>
        </xdr:nvCxnSpPr>
        <xdr:spPr>
          <a:xfrm flipH="1">
            <a:off x="11144252" y="7738693"/>
            <a:ext cx="1633538" cy="661506"/>
          </a:xfrm>
          <a:prstGeom prst="straightConnector1">
            <a:avLst/>
          </a:prstGeom>
          <a:ln w="38100">
            <a:solidFill>
              <a:srgbClr val="CC00CC"/>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1" name="ZoneTexte 110">
            <a:extLst>
              <a:ext uri="{FF2B5EF4-FFF2-40B4-BE49-F238E27FC236}">
                <a16:creationId xmlns:a16="http://schemas.microsoft.com/office/drawing/2014/main" id="{B8BBE44D-A1CD-4B41-86DA-4BD05A670F5A}"/>
              </a:ext>
            </a:extLst>
          </xdr:cNvPr>
          <xdr:cNvSpPr txBox="1"/>
        </xdr:nvSpPr>
        <xdr:spPr>
          <a:xfrm>
            <a:off x="12792441" y="10391464"/>
            <a:ext cx="4705079" cy="842709"/>
          </a:xfrm>
          <a:prstGeom prst="rect">
            <a:avLst/>
          </a:prstGeom>
          <a:solidFill>
            <a:srgbClr val="A3E7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a:t>Pour</a:t>
            </a:r>
            <a:r>
              <a:rPr lang="fr-FR" sz="1100" b="0" baseline="0"/>
              <a:t> les </a:t>
            </a:r>
            <a:r>
              <a:rPr lang="fr-FR" sz="1100" b="1" baseline="0"/>
              <a:t>PRODUITS PHYTOSANITAIRES </a:t>
            </a:r>
            <a:r>
              <a:rPr lang="fr-FR" sz="1100" b="0" baseline="0"/>
              <a:t>ou si vous souhaitez saisir d'</a:t>
            </a:r>
            <a:r>
              <a:rPr lang="fr-FR" sz="1100" b="1" baseline="0"/>
              <a:t>AUTRES</a:t>
            </a:r>
            <a:r>
              <a:rPr lang="fr-FR" sz="1100" b="0" baseline="0"/>
              <a:t> </a:t>
            </a:r>
            <a:r>
              <a:rPr lang="fr-FR" sz="1100" b="1" baseline="0"/>
              <a:t>INTRANTS</a:t>
            </a:r>
            <a:r>
              <a:rPr lang="fr-FR" sz="1100" b="0" baseline="0"/>
              <a:t> non proposés ici (exemple assurance récolte, vous pouvez saisir leur coût </a:t>
            </a:r>
            <a:r>
              <a:rPr lang="fr-FR" sz="1100" b="1" baseline="0"/>
              <a:t>en €/ha</a:t>
            </a:r>
            <a:r>
              <a:rPr lang="fr-FR" sz="1100" b="0" baseline="0"/>
              <a:t>. Pour les produits phytosanitaires, vous pouvez saisir l'ensemble du coût sur une ligne OU les détailler sur plusieurs (herbicides, fongicides...)</a:t>
            </a:r>
          </a:p>
          <a:p>
            <a:endParaRPr lang="fr-FR" sz="1100" b="0" baseline="0"/>
          </a:p>
        </xdr:txBody>
      </xdr:sp>
      <xdr:sp macro="" textlink="">
        <xdr:nvSpPr>
          <xdr:cNvPr id="114" name="Ellipse 113">
            <a:extLst>
              <a:ext uri="{FF2B5EF4-FFF2-40B4-BE49-F238E27FC236}">
                <a16:creationId xmlns:a16="http://schemas.microsoft.com/office/drawing/2014/main" id="{07035C85-2826-421F-AE83-97A54B5C470B}"/>
              </a:ext>
            </a:extLst>
          </xdr:cNvPr>
          <xdr:cNvSpPr/>
        </xdr:nvSpPr>
        <xdr:spPr>
          <a:xfrm>
            <a:off x="7358989" y="12131559"/>
            <a:ext cx="582713" cy="162323"/>
          </a:xfrm>
          <a:prstGeom prst="ellipse">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xnSp macro="">
        <xdr:nvCxnSpPr>
          <xdr:cNvPr id="115" name="Connecteur droit avec flèche 114">
            <a:extLst>
              <a:ext uri="{FF2B5EF4-FFF2-40B4-BE49-F238E27FC236}">
                <a16:creationId xmlns:a16="http://schemas.microsoft.com/office/drawing/2014/main" id="{E027C97B-7B85-4C7F-BA07-5280D64BA3EA}"/>
              </a:ext>
            </a:extLst>
          </xdr:cNvPr>
          <xdr:cNvCxnSpPr>
            <a:stCxn id="111" idx="1"/>
            <a:endCxn id="114" idx="7"/>
          </xdr:cNvCxnSpPr>
        </xdr:nvCxnSpPr>
        <xdr:spPr>
          <a:xfrm flipH="1">
            <a:off x="7856366" y="10812819"/>
            <a:ext cx="4936075" cy="1342512"/>
          </a:xfrm>
          <a:prstGeom prst="straightConnector1">
            <a:avLst/>
          </a:prstGeom>
          <a:ln w="3810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3" name="Ellipse 122">
            <a:extLst>
              <a:ext uri="{FF2B5EF4-FFF2-40B4-BE49-F238E27FC236}">
                <a16:creationId xmlns:a16="http://schemas.microsoft.com/office/drawing/2014/main" id="{BA6F960B-3DA1-41F8-8CEA-F860D83C4626}"/>
              </a:ext>
            </a:extLst>
          </xdr:cNvPr>
          <xdr:cNvSpPr/>
        </xdr:nvSpPr>
        <xdr:spPr>
          <a:xfrm>
            <a:off x="7364189" y="13770933"/>
            <a:ext cx="517922" cy="1396377"/>
          </a:xfrm>
          <a:prstGeom prst="ellipse">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sp macro="" textlink="">
        <xdr:nvSpPr>
          <xdr:cNvPr id="124" name="ZoneTexte 123">
            <a:extLst>
              <a:ext uri="{FF2B5EF4-FFF2-40B4-BE49-F238E27FC236}">
                <a16:creationId xmlns:a16="http://schemas.microsoft.com/office/drawing/2014/main" id="{0D299871-736B-4FE9-897A-B7D5AA5AB30A}"/>
              </a:ext>
            </a:extLst>
          </xdr:cNvPr>
          <xdr:cNvSpPr txBox="1"/>
        </xdr:nvSpPr>
        <xdr:spPr>
          <a:xfrm>
            <a:off x="12780192" y="12837224"/>
            <a:ext cx="4717328" cy="1038799"/>
          </a:xfrm>
          <a:prstGeom prst="rect">
            <a:avLst/>
          </a:prstGeom>
          <a:solidFill>
            <a:schemeClr val="bg1">
              <a:lumMod val="85000"/>
            </a:schemeClr>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a:t>Concernant les </a:t>
            </a:r>
            <a:r>
              <a:rPr lang="fr-FR" sz="1100" b="1"/>
              <a:t>CHARGES DE MECANISATION</a:t>
            </a:r>
            <a:r>
              <a:rPr lang="fr-FR" sz="1100" b="0"/>
              <a:t>, en plus des charges</a:t>
            </a:r>
            <a:r>
              <a:rPr lang="fr-FR" sz="1100" b="0" baseline="0"/>
              <a:t> de carburant, </a:t>
            </a:r>
            <a:r>
              <a:rPr lang="fr-FR" sz="1100" b="0"/>
              <a:t>vous pouvez saisir le détail</a:t>
            </a:r>
            <a:r>
              <a:rPr lang="fr-FR" sz="1100" b="0" baseline="0"/>
              <a:t> des postes </a:t>
            </a:r>
            <a:r>
              <a:rPr lang="fr-FR" sz="1100" b="1" baseline="0"/>
              <a:t>en €/ha : </a:t>
            </a:r>
            <a:r>
              <a:rPr lang="fr-FR" sz="1100" b="0" baseline="0"/>
              <a:t>entretien réparation, travaux par tiers (exemple récolte), location, amortissement ou remboursement du capital de vos emprunts moyen long terme), les frais financiers (de vos emprunts).</a:t>
            </a:r>
            <a:endParaRPr lang="fr-FR" sz="1100" b="0">
              <a:solidFill>
                <a:srgbClr val="CC9900"/>
              </a:solidFill>
            </a:endParaRPr>
          </a:p>
        </xdr:txBody>
      </xdr:sp>
      <xdr:cxnSp macro="">
        <xdr:nvCxnSpPr>
          <xdr:cNvPr id="125" name="Connecteur droit avec flèche 124">
            <a:extLst>
              <a:ext uri="{FF2B5EF4-FFF2-40B4-BE49-F238E27FC236}">
                <a16:creationId xmlns:a16="http://schemas.microsoft.com/office/drawing/2014/main" id="{C04716B4-4BE0-46DE-91BB-B6615C488A9C}"/>
              </a:ext>
            </a:extLst>
          </xdr:cNvPr>
          <xdr:cNvCxnSpPr>
            <a:stCxn id="124" idx="1"/>
            <a:endCxn id="123" idx="6"/>
          </xdr:cNvCxnSpPr>
        </xdr:nvCxnSpPr>
        <xdr:spPr>
          <a:xfrm flipH="1">
            <a:off x="7882110" y="13356624"/>
            <a:ext cx="4898082" cy="1112498"/>
          </a:xfrm>
          <a:prstGeom prst="straightConnector1">
            <a:avLst/>
          </a:prstGeom>
          <a:ln w="38100">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1" name="Ellipse 130">
            <a:extLst>
              <a:ext uri="{FF2B5EF4-FFF2-40B4-BE49-F238E27FC236}">
                <a16:creationId xmlns:a16="http://schemas.microsoft.com/office/drawing/2014/main" id="{95F47CE3-31CD-415F-8899-B92172E74FAF}"/>
              </a:ext>
            </a:extLst>
          </xdr:cNvPr>
          <xdr:cNvSpPr/>
        </xdr:nvSpPr>
        <xdr:spPr>
          <a:xfrm>
            <a:off x="10679623" y="15143218"/>
            <a:ext cx="517922" cy="367393"/>
          </a:xfrm>
          <a:prstGeom prst="ellipse">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xnSp macro="">
        <xdr:nvCxnSpPr>
          <xdr:cNvPr id="133" name="Connecteur droit avec flèche 132">
            <a:extLst>
              <a:ext uri="{FF2B5EF4-FFF2-40B4-BE49-F238E27FC236}">
                <a16:creationId xmlns:a16="http://schemas.microsoft.com/office/drawing/2014/main" id="{949D434A-4F70-4D68-80F6-EC0FF4B0509D}"/>
              </a:ext>
            </a:extLst>
          </xdr:cNvPr>
          <xdr:cNvCxnSpPr>
            <a:endCxn id="131" idx="6"/>
          </xdr:cNvCxnSpPr>
        </xdr:nvCxnSpPr>
        <xdr:spPr>
          <a:xfrm flipH="1">
            <a:off x="11197545" y="15138129"/>
            <a:ext cx="1677747" cy="188786"/>
          </a:xfrm>
          <a:prstGeom prst="straightConnector1">
            <a:avLst/>
          </a:prstGeom>
          <a:ln w="38100">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9" name="Ellipse 138">
            <a:extLst>
              <a:ext uri="{FF2B5EF4-FFF2-40B4-BE49-F238E27FC236}">
                <a16:creationId xmlns:a16="http://schemas.microsoft.com/office/drawing/2014/main" id="{B767BDE6-1893-40A7-B1D5-6CADDC34BB12}"/>
              </a:ext>
            </a:extLst>
          </xdr:cNvPr>
          <xdr:cNvSpPr/>
        </xdr:nvSpPr>
        <xdr:spPr>
          <a:xfrm>
            <a:off x="9043285" y="16166574"/>
            <a:ext cx="517922" cy="761581"/>
          </a:xfrm>
          <a:prstGeom prst="ellipse">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xnSp macro="">
        <xdr:nvCxnSpPr>
          <xdr:cNvPr id="140" name="Connecteur droit avec flèche 139">
            <a:extLst>
              <a:ext uri="{FF2B5EF4-FFF2-40B4-BE49-F238E27FC236}">
                <a16:creationId xmlns:a16="http://schemas.microsoft.com/office/drawing/2014/main" id="{333332E2-DF90-4D08-A51B-5F1D306727D9}"/>
              </a:ext>
            </a:extLst>
          </xdr:cNvPr>
          <xdr:cNvCxnSpPr>
            <a:endCxn id="139" idx="6"/>
          </xdr:cNvCxnSpPr>
        </xdr:nvCxnSpPr>
        <xdr:spPr>
          <a:xfrm flipH="1">
            <a:off x="9561207" y="15900129"/>
            <a:ext cx="3370286" cy="647236"/>
          </a:xfrm>
          <a:prstGeom prst="straightConnector1">
            <a:avLst/>
          </a:prstGeom>
          <a:ln w="38100">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1" name="ZoneTexte 150">
            <a:extLst>
              <a:ext uri="{FF2B5EF4-FFF2-40B4-BE49-F238E27FC236}">
                <a16:creationId xmlns:a16="http://schemas.microsoft.com/office/drawing/2014/main" id="{4121352E-D274-4427-BA7C-94C487FE205F}"/>
              </a:ext>
            </a:extLst>
          </xdr:cNvPr>
          <xdr:cNvSpPr txBox="1"/>
        </xdr:nvSpPr>
        <xdr:spPr>
          <a:xfrm>
            <a:off x="12809362" y="13993179"/>
            <a:ext cx="4699398" cy="641467"/>
          </a:xfrm>
          <a:prstGeom prst="rect">
            <a:avLst/>
          </a:prstGeom>
          <a:solidFill>
            <a:schemeClr val="bg1">
              <a:lumMod val="85000"/>
            </a:schemeClr>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a:t>Saisissez le </a:t>
            </a:r>
            <a:r>
              <a:rPr lang="fr-FR" sz="1100" b="1"/>
              <a:t>FERMAGE</a:t>
            </a:r>
            <a:r>
              <a:rPr lang="fr-FR" sz="1100" b="0"/>
              <a:t>,</a:t>
            </a:r>
            <a:r>
              <a:rPr lang="fr-FR" sz="1100" b="0" baseline="0"/>
              <a:t> les </a:t>
            </a:r>
            <a:r>
              <a:rPr lang="fr-FR" sz="1100" b="1" baseline="0"/>
              <a:t>AUTRES CHARGES FIXES </a:t>
            </a:r>
            <a:r>
              <a:rPr lang="fr-FR" sz="1100" b="0" baseline="0"/>
              <a:t>et les </a:t>
            </a:r>
            <a:r>
              <a:rPr lang="fr-FR" sz="1100" b="1" baseline="0"/>
              <a:t>AUTRES CHARGES </a:t>
            </a:r>
            <a:r>
              <a:rPr lang="fr-FR" sz="1100" b="0" baseline="0"/>
              <a:t>si vous souhaitez ajouter d'autres charges non prises en compte ici. Tous ces postes sont à saisir en €/ha. </a:t>
            </a:r>
            <a:endParaRPr lang="fr-FR" sz="1100" b="0">
              <a:solidFill>
                <a:sysClr val="windowText" lastClr="000000"/>
              </a:solidFill>
            </a:endParaRPr>
          </a:p>
        </xdr:txBody>
      </xdr:sp>
      <xdr:sp macro="" textlink="">
        <xdr:nvSpPr>
          <xdr:cNvPr id="155" name="Ellipse 154">
            <a:extLst>
              <a:ext uri="{FF2B5EF4-FFF2-40B4-BE49-F238E27FC236}">
                <a16:creationId xmlns:a16="http://schemas.microsoft.com/office/drawing/2014/main" id="{6DB339BA-2A0B-49B8-A101-468EFBCB7D21}"/>
              </a:ext>
            </a:extLst>
          </xdr:cNvPr>
          <xdr:cNvSpPr/>
        </xdr:nvSpPr>
        <xdr:spPr>
          <a:xfrm>
            <a:off x="7361037" y="15479315"/>
            <a:ext cx="517922" cy="220436"/>
          </a:xfrm>
          <a:prstGeom prst="ellipse">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xnSp macro="">
        <xdr:nvCxnSpPr>
          <xdr:cNvPr id="156" name="Connecteur droit avec flèche 155">
            <a:extLst>
              <a:ext uri="{FF2B5EF4-FFF2-40B4-BE49-F238E27FC236}">
                <a16:creationId xmlns:a16="http://schemas.microsoft.com/office/drawing/2014/main" id="{F1AD1783-7555-4921-B787-4E3A0D210DB0}"/>
              </a:ext>
            </a:extLst>
          </xdr:cNvPr>
          <xdr:cNvCxnSpPr>
            <a:stCxn id="151" idx="1"/>
            <a:endCxn id="155" idx="6"/>
          </xdr:cNvCxnSpPr>
        </xdr:nvCxnSpPr>
        <xdr:spPr>
          <a:xfrm flipH="1">
            <a:off x="7878959" y="14313913"/>
            <a:ext cx="4930403" cy="1275620"/>
          </a:xfrm>
          <a:prstGeom prst="straightConnector1">
            <a:avLst/>
          </a:prstGeom>
          <a:ln w="38100">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8" name="Ellipse 157">
            <a:extLst>
              <a:ext uri="{FF2B5EF4-FFF2-40B4-BE49-F238E27FC236}">
                <a16:creationId xmlns:a16="http://schemas.microsoft.com/office/drawing/2014/main" id="{A745B963-37E7-4100-BA6A-A90E6FFEB6FA}"/>
              </a:ext>
            </a:extLst>
          </xdr:cNvPr>
          <xdr:cNvSpPr/>
        </xdr:nvSpPr>
        <xdr:spPr>
          <a:xfrm>
            <a:off x="7354886" y="15718801"/>
            <a:ext cx="517922" cy="220436"/>
          </a:xfrm>
          <a:prstGeom prst="ellipse">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xnSp macro="">
        <xdr:nvCxnSpPr>
          <xdr:cNvPr id="159" name="Connecteur droit avec flèche 158">
            <a:extLst>
              <a:ext uri="{FF2B5EF4-FFF2-40B4-BE49-F238E27FC236}">
                <a16:creationId xmlns:a16="http://schemas.microsoft.com/office/drawing/2014/main" id="{1DAAE82F-3691-415B-AA7D-38A97191D8A5}"/>
              </a:ext>
            </a:extLst>
          </xdr:cNvPr>
          <xdr:cNvCxnSpPr>
            <a:stCxn id="151" idx="1"/>
            <a:endCxn id="158" idx="6"/>
          </xdr:cNvCxnSpPr>
        </xdr:nvCxnSpPr>
        <xdr:spPr>
          <a:xfrm flipH="1">
            <a:off x="7872808" y="14313913"/>
            <a:ext cx="4936554" cy="1515106"/>
          </a:xfrm>
          <a:prstGeom prst="straightConnector1">
            <a:avLst/>
          </a:prstGeom>
          <a:ln w="38100">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0" name="Ellipse 159">
            <a:extLst>
              <a:ext uri="{FF2B5EF4-FFF2-40B4-BE49-F238E27FC236}">
                <a16:creationId xmlns:a16="http://schemas.microsoft.com/office/drawing/2014/main" id="{510C9B79-98A7-4AE3-8409-A4FC7CBA61DD}"/>
              </a:ext>
            </a:extLst>
          </xdr:cNvPr>
          <xdr:cNvSpPr/>
        </xdr:nvSpPr>
        <xdr:spPr>
          <a:xfrm>
            <a:off x="7371215" y="15958607"/>
            <a:ext cx="517922" cy="220436"/>
          </a:xfrm>
          <a:prstGeom prst="ellipse">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xnSp macro="">
        <xdr:nvCxnSpPr>
          <xdr:cNvPr id="161" name="Connecteur droit avec flèche 160">
            <a:extLst>
              <a:ext uri="{FF2B5EF4-FFF2-40B4-BE49-F238E27FC236}">
                <a16:creationId xmlns:a16="http://schemas.microsoft.com/office/drawing/2014/main" id="{F85D847C-4CAF-482B-AB30-ABCCFE6D3E5C}"/>
              </a:ext>
            </a:extLst>
          </xdr:cNvPr>
          <xdr:cNvCxnSpPr>
            <a:stCxn id="151" idx="1"/>
            <a:endCxn id="160" idx="6"/>
          </xdr:cNvCxnSpPr>
        </xdr:nvCxnSpPr>
        <xdr:spPr>
          <a:xfrm flipH="1">
            <a:off x="7889137" y="14313913"/>
            <a:ext cx="4920225" cy="1754912"/>
          </a:xfrm>
          <a:prstGeom prst="straightConnector1">
            <a:avLst/>
          </a:prstGeom>
          <a:ln w="38100">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1" name="Accolade ouvrante 170">
            <a:extLst>
              <a:ext uri="{FF2B5EF4-FFF2-40B4-BE49-F238E27FC236}">
                <a16:creationId xmlns:a16="http://schemas.microsoft.com/office/drawing/2014/main" id="{9EF50D30-A149-4D1D-8F9D-5321228329EB}"/>
              </a:ext>
            </a:extLst>
          </xdr:cNvPr>
          <xdr:cNvSpPr/>
        </xdr:nvSpPr>
        <xdr:spPr>
          <a:xfrm rot="16200000">
            <a:off x="11776570" y="16817309"/>
            <a:ext cx="165837" cy="1153400"/>
          </a:xfrm>
          <a:prstGeom prst="leftBrace">
            <a:avLst>
              <a:gd name="adj1" fmla="val 32396"/>
              <a:gd name="adj2" fmla="val 50000"/>
            </a:avLst>
          </a:prstGeom>
          <a:ln w="38100">
            <a:solidFill>
              <a:schemeClr val="accent3"/>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sp macro="" textlink="">
        <xdr:nvSpPr>
          <xdr:cNvPr id="172" name="ZoneTexte 171">
            <a:extLst>
              <a:ext uri="{FF2B5EF4-FFF2-40B4-BE49-F238E27FC236}">
                <a16:creationId xmlns:a16="http://schemas.microsoft.com/office/drawing/2014/main" id="{67CD422B-5544-47CF-B104-7E8475C90FD0}"/>
              </a:ext>
            </a:extLst>
          </xdr:cNvPr>
          <xdr:cNvSpPr txBox="1"/>
        </xdr:nvSpPr>
        <xdr:spPr>
          <a:xfrm>
            <a:off x="12805225" y="16807859"/>
            <a:ext cx="4699646" cy="546025"/>
          </a:xfrm>
          <a:prstGeom prst="rect">
            <a:avLst/>
          </a:prstGeom>
          <a:solidFill>
            <a:srgbClr val="CCFF66">
              <a:alpha val="96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Les trois colonnes vertes récapitulent</a:t>
            </a:r>
            <a:r>
              <a:rPr lang="fr-FR" sz="1100" baseline="0"/>
              <a:t> le détail des charges saisies pour chaque situation en </a:t>
            </a:r>
            <a:r>
              <a:rPr lang="fr-FR" sz="1100" b="1" baseline="0"/>
              <a:t>€/ha </a:t>
            </a:r>
            <a:r>
              <a:rPr lang="fr-FR" sz="1100" b="0" i="1" baseline="0"/>
              <a:t>(cela permet de vérifier les chiffres)</a:t>
            </a:r>
            <a:endParaRPr lang="fr-FR" sz="1100" b="0" i="1">
              <a:solidFill>
                <a:schemeClr val="accent3"/>
              </a:solidFill>
            </a:endParaRPr>
          </a:p>
        </xdr:txBody>
      </xdr:sp>
      <xdr:cxnSp macro="">
        <xdr:nvCxnSpPr>
          <xdr:cNvPr id="177" name="Connecteur : en angle 176">
            <a:extLst>
              <a:ext uri="{FF2B5EF4-FFF2-40B4-BE49-F238E27FC236}">
                <a16:creationId xmlns:a16="http://schemas.microsoft.com/office/drawing/2014/main" id="{B4F39D63-B635-42B7-A876-E2280AD6D2BA}"/>
              </a:ext>
            </a:extLst>
          </xdr:cNvPr>
          <xdr:cNvCxnSpPr>
            <a:stCxn id="172" idx="1"/>
            <a:endCxn id="171" idx="1"/>
          </xdr:cNvCxnSpPr>
        </xdr:nvCxnSpPr>
        <xdr:spPr>
          <a:xfrm rot="10800000" flipV="1">
            <a:off x="11859489" y="17080872"/>
            <a:ext cx="945736" cy="396056"/>
          </a:xfrm>
          <a:prstGeom prst="bentConnector4">
            <a:avLst>
              <a:gd name="adj1" fmla="val 18352"/>
              <a:gd name="adj2" fmla="val 148028"/>
            </a:avLst>
          </a:prstGeom>
          <a:ln w="38100">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0" name="ZoneTexte 99">
            <a:extLst>
              <a:ext uri="{FF2B5EF4-FFF2-40B4-BE49-F238E27FC236}">
                <a16:creationId xmlns:a16="http://schemas.microsoft.com/office/drawing/2014/main" id="{ACB36652-F8AA-41EE-B6FF-7F9F32634F93}"/>
              </a:ext>
            </a:extLst>
          </xdr:cNvPr>
          <xdr:cNvSpPr txBox="1"/>
        </xdr:nvSpPr>
        <xdr:spPr>
          <a:xfrm>
            <a:off x="1948925" y="8780518"/>
            <a:ext cx="3220818" cy="264560"/>
          </a:xfrm>
          <a:prstGeom prst="rect">
            <a:avLst/>
          </a:prstGeom>
          <a:solidFill>
            <a:sysClr val="window" lastClr="FFFFFF"/>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rgbClr val="FF0000"/>
                </a:solidFill>
              </a:rPr>
              <a:t>les chiffres ci dessous sont</a:t>
            </a:r>
            <a:r>
              <a:rPr lang="fr-FR" sz="1100" b="1" baseline="0">
                <a:solidFill>
                  <a:srgbClr val="FF0000"/>
                </a:solidFill>
              </a:rPr>
              <a:t> donnés à titre d'exemple</a:t>
            </a:r>
            <a:endParaRPr lang="fr-FR" sz="1100" b="1">
              <a:solidFill>
                <a:srgbClr val="FF0000"/>
              </a:solidFill>
            </a:endParaRPr>
          </a:p>
        </xdr:txBody>
      </xdr:sp>
      <xdr:sp macro="" textlink="">
        <xdr:nvSpPr>
          <xdr:cNvPr id="17" name="ZoneTexte 16">
            <a:extLst>
              <a:ext uri="{FF2B5EF4-FFF2-40B4-BE49-F238E27FC236}">
                <a16:creationId xmlns:a16="http://schemas.microsoft.com/office/drawing/2014/main" id="{73744A6E-4B31-4845-8383-3A23F6C0BE09}"/>
              </a:ext>
            </a:extLst>
          </xdr:cNvPr>
          <xdr:cNvSpPr txBox="1"/>
        </xdr:nvSpPr>
        <xdr:spPr>
          <a:xfrm>
            <a:off x="12780513" y="9172971"/>
            <a:ext cx="4731711" cy="112395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baseline="0">
                <a:solidFill>
                  <a:schemeClr val="dk1"/>
                </a:solidFill>
                <a:effectLst/>
                <a:latin typeface="+mn-lt"/>
                <a:ea typeface="+mn-ea"/>
                <a:cs typeface="+mn-cs"/>
              </a:rPr>
              <a:t>pour les </a:t>
            </a:r>
            <a:r>
              <a:rPr lang="fr-FR" sz="1100" b="1" baseline="0">
                <a:solidFill>
                  <a:schemeClr val="dk1"/>
                </a:solidFill>
                <a:effectLst/>
                <a:latin typeface="+mn-lt"/>
                <a:ea typeface="+mn-ea"/>
                <a:cs typeface="+mn-cs"/>
              </a:rPr>
              <a:t>ENGRAIS </a:t>
            </a:r>
            <a:r>
              <a:rPr lang="fr-FR" sz="1100" b="0" baseline="0">
                <a:solidFill>
                  <a:schemeClr val="dk1"/>
                </a:solidFill>
                <a:effectLst/>
                <a:latin typeface="+mn-lt"/>
                <a:ea typeface="+mn-ea"/>
                <a:cs typeface="+mn-cs"/>
              </a:rPr>
              <a:t>ou les </a:t>
            </a:r>
            <a:r>
              <a:rPr lang="fr-FR" sz="1100" b="1" baseline="0">
                <a:solidFill>
                  <a:schemeClr val="dk1"/>
                </a:solidFill>
                <a:effectLst/>
                <a:latin typeface="+mn-lt"/>
                <a:ea typeface="+mn-ea"/>
                <a:cs typeface="+mn-cs"/>
              </a:rPr>
              <a:t>SEMENCES </a:t>
            </a:r>
            <a:r>
              <a:rPr lang="fr-FR" sz="1100" b="0" baseline="0">
                <a:solidFill>
                  <a:schemeClr val="dk1"/>
                </a:solidFill>
                <a:effectLst/>
                <a:latin typeface="+mn-lt"/>
                <a:ea typeface="+mn-ea"/>
                <a:cs typeface="+mn-cs"/>
              </a:rPr>
              <a:t>ou le </a:t>
            </a:r>
            <a:r>
              <a:rPr lang="fr-FR" sz="1100" b="1" baseline="0">
                <a:solidFill>
                  <a:schemeClr val="dk1"/>
                </a:solidFill>
                <a:effectLst/>
                <a:latin typeface="+mn-lt"/>
                <a:ea typeface="+mn-ea"/>
                <a:cs typeface="+mn-cs"/>
              </a:rPr>
              <a:t>CARBURANT</a:t>
            </a:r>
            <a:r>
              <a:rPr lang="fr-FR" sz="1100" b="0" baseline="0">
                <a:solidFill>
                  <a:schemeClr val="dk1"/>
                </a:solidFill>
                <a:effectLst/>
                <a:latin typeface="+mn-lt"/>
                <a:ea typeface="+mn-ea"/>
                <a:cs typeface="+mn-cs"/>
              </a:rPr>
              <a:t>, vous pouvez saisir une quantité et un prix OU des €/ha.</a:t>
            </a:r>
          </a:p>
          <a:p>
            <a:r>
              <a:rPr lang="fr-FR" sz="1100" b="0" baseline="0">
                <a:solidFill>
                  <a:schemeClr val="dk1"/>
                </a:solidFill>
                <a:effectLst/>
                <a:latin typeface="+mn-lt"/>
                <a:ea typeface="+mn-ea"/>
                <a:cs typeface="+mn-cs"/>
              </a:rPr>
              <a:t>Par exemple vous pouvez saisir de l'urée et de l'ammonitrate de la façon suivante : </a:t>
            </a:r>
            <a:endParaRPr lang="fr-FR" b="0">
              <a:effectLst/>
            </a:endParaRPr>
          </a:p>
          <a:p>
            <a:pPr marL="171450" indent="-171450">
              <a:buFont typeface="Arial" panose="020B0604020202020204" pitchFamily="34" charset="0"/>
              <a:buChar char="•"/>
            </a:pPr>
            <a:r>
              <a:rPr lang="fr-FR" sz="1100" b="1" baseline="0">
                <a:solidFill>
                  <a:schemeClr val="accent3">
                    <a:lumMod val="75000"/>
                  </a:schemeClr>
                </a:solidFill>
              </a:rPr>
              <a:t>urée : 0.35 tonnes à un prix de 350€/t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r-FR" sz="1100" b="1" baseline="0">
                <a:solidFill>
                  <a:srgbClr val="92D050"/>
                </a:solidFill>
                <a:effectLst/>
                <a:latin typeface="+mn-lt"/>
                <a:ea typeface="+mn-ea"/>
                <a:cs typeface="+mn-cs"/>
              </a:rPr>
              <a:t>ammonitrate : 150 €/ha</a:t>
            </a:r>
            <a:endParaRPr lang="fr-FR" sz="1100" b="1">
              <a:solidFill>
                <a:srgbClr val="92D050"/>
              </a:solidFill>
              <a:effectLst/>
            </a:endParaRPr>
          </a:p>
        </xdr:txBody>
      </xdr:sp>
      <xdr:sp macro="" textlink="">
        <xdr:nvSpPr>
          <xdr:cNvPr id="20" name="ZoneTexte 19">
            <a:extLst>
              <a:ext uri="{FF2B5EF4-FFF2-40B4-BE49-F238E27FC236}">
                <a16:creationId xmlns:a16="http://schemas.microsoft.com/office/drawing/2014/main" id="{62A6155C-048B-42C2-B0BA-6122BCC5FD0E}"/>
              </a:ext>
            </a:extLst>
          </xdr:cNvPr>
          <xdr:cNvSpPr txBox="1"/>
        </xdr:nvSpPr>
        <xdr:spPr>
          <a:xfrm>
            <a:off x="12777813" y="11335800"/>
            <a:ext cx="4712356" cy="823632"/>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a:t>Si vous </a:t>
            </a:r>
            <a:r>
              <a:rPr lang="fr-FR" sz="1100" b="1"/>
              <a:t>IRRIGUEZ </a:t>
            </a:r>
            <a:r>
              <a:rPr lang="fr-FR" sz="1100" b="0"/>
              <a:t>ou </a:t>
            </a:r>
            <a:r>
              <a:rPr lang="fr-FR" sz="1100" b="1"/>
              <a:t>STOCKEZ</a:t>
            </a:r>
            <a:r>
              <a:rPr lang="fr-FR" sz="1100" b="1" baseline="0"/>
              <a:t> </a:t>
            </a:r>
            <a:r>
              <a:rPr lang="fr-FR" sz="1100" b="0" baseline="0"/>
              <a:t>votre culture vous pouvez saisir l'énergie nécessaire.</a:t>
            </a:r>
            <a:r>
              <a:rPr lang="fr-FR" sz="1100" b="0"/>
              <a:t> </a:t>
            </a:r>
            <a:r>
              <a:rPr lang="fr-FR" sz="1100" b="0">
                <a:solidFill>
                  <a:schemeClr val="dk1"/>
                </a:solidFill>
                <a:effectLst/>
                <a:latin typeface="+mn-lt"/>
                <a:ea typeface="+mn-ea"/>
                <a:cs typeface="+mn-cs"/>
              </a:rPr>
              <a:t>Par exemple </a:t>
            </a:r>
            <a:r>
              <a:rPr lang="fr-FR" sz="1100" b="0"/>
              <a:t>pour</a:t>
            </a:r>
            <a:r>
              <a:rPr lang="fr-FR" sz="1100" b="0" baseline="0"/>
              <a:t> </a:t>
            </a:r>
            <a:r>
              <a:rPr lang="fr-FR" sz="1100" b="0"/>
              <a:t>l'énergie</a:t>
            </a:r>
            <a:r>
              <a:rPr lang="fr-FR" sz="1100" b="0" baseline="0"/>
              <a:t> irrigation, vous pouvez saisir :</a:t>
            </a:r>
          </a:p>
          <a:p>
            <a:pPr marL="171450" indent="-171450">
              <a:buFont typeface="Arial" panose="020B0604020202020204" pitchFamily="34" charset="0"/>
              <a:buChar char="•"/>
            </a:pPr>
            <a:r>
              <a:rPr lang="fr-FR" sz="1100" b="1" baseline="0">
                <a:solidFill>
                  <a:schemeClr val="accent1"/>
                </a:solidFill>
              </a:rPr>
              <a:t>2000 m3/ha au prix du m3 de 0.15 €/m3</a:t>
            </a:r>
          </a:p>
          <a:p>
            <a:pPr marL="171450" indent="-171450">
              <a:buFont typeface="Arial" panose="020B0604020202020204" pitchFamily="34" charset="0"/>
              <a:buChar char="•"/>
            </a:pPr>
            <a:r>
              <a:rPr lang="fr-FR" sz="1100" b="1" baseline="0">
                <a:solidFill>
                  <a:schemeClr val="tx2"/>
                </a:solidFill>
                <a:latin typeface="+mn-lt"/>
                <a:ea typeface="+mn-ea"/>
                <a:cs typeface="+mn-cs"/>
              </a:rPr>
              <a:t> </a:t>
            </a:r>
            <a:r>
              <a:rPr lang="fr-FR" sz="1100" b="1" baseline="0">
                <a:solidFill>
                  <a:srgbClr val="FF0000"/>
                </a:solidFill>
                <a:latin typeface="+mn-lt"/>
                <a:ea typeface="+mn-ea"/>
                <a:cs typeface="+mn-cs"/>
              </a:rPr>
              <a:t>OU</a:t>
            </a:r>
            <a:r>
              <a:rPr lang="fr-FR" sz="1100" b="1" baseline="0">
                <a:solidFill>
                  <a:schemeClr val="tx2"/>
                </a:solidFill>
                <a:latin typeface="+mn-lt"/>
                <a:ea typeface="+mn-ea"/>
                <a:cs typeface="+mn-cs"/>
              </a:rPr>
              <a:t> directement le cut en €/ha</a:t>
            </a:r>
          </a:p>
        </xdr:txBody>
      </xdr:sp>
      <xdr:sp macro="" textlink="">
        <xdr:nvSpPr>
          <xdr:cNvPr id="132" name="ZoneTexte 131">
            <a:extLst>
              <a:ext uri="{FF2B5EF4-FFF2-40B4-BE49-F238E27FC236}">
                <a16:creationId xmlns:a16="http://schemas.microsoft.com/office/drawing/2014/main" id="{94C29B54-5A1D-4A86-AB3D-2FCBF05FC1C4}"/>
              </a:ext>
            </a:extLst>
          </xdr:cNvPr>
          <xdr:cNvSpPr txBox="1"/>
        </xdr:nvSpPr>
        <xdr:spPr>
          <a:xfrm>
            <a:off x="12781792" y="14742185"/>
            <a:ext cx="4723080" cy="1528654"/>
          </a:xfrm>
          <a:prstGeom prst="rect">
            <a:avLst/>
          </a:prstGeom>
          <a:solidFill>
            <a:schemeClr val="bg1">
              <a:lumMod val="85000"/>
            </a:schemeClr>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a:t>Concernant les </a:t>
            </a:r>
            <a:r>
              <a:rPr lang="fr-FR" sz="1100" b="1"/>
              <a:t>CHARGES DE MAIN</a:t>
            </a:r>
            <a:r>
              <a:rPr lang="fr-FR" sz="1100" b="1" baseline="0"/>
              <a:t> D'OEUVRE</a:t>
            </a:r>
            <a:r>
              <a:rPr lang="fr-FR" sz="1100" b="0"/>
              <a:t>, vous</a:t>
            </a:r>
            <a:r>
              <a:rPr lang="fr-FR" sz="1100" b="0" baseline="0"/>
              <a:t> pouvez saisir :</a:t>
            </a:r>
          </a:p>
          <a:p>
            <a:pPr marL="171450" indent="-171450">
              <a:buFont typeface="Arial" panose="020B0604020202020204" pitchFamily="34" charset="0"/>
              <a:buChar char="•"/>
            </a:pPr>
            <a:r>
              <a:rPr lang="fr-FR" sz="1100" b="0" baseline="0"/>
              <a:t>si vous en avez, les </a:t>
            </a:r>
            <a:r>
              <a:rPr lang="fr-FR" sz="1100" b="1" baseline="0"/>
              <a:t>salaires et charges sociales de vos employés</a:t>
            </a:r>
            <a:r>
              <a:rPr lang="fr-FR" sz="1100" b="0" baseline="0"/>
              <a: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r-FR" sz="1100" b="0" baseline="0">
                <a:solidFill>
                  <a:schemeClr val="dk1"/>
                </a:solidFill>
                <a:effectLst/>
                <a:latin typeface="+mn-lt"/>
                <a:ea typeface="+mn-ea"/>
                <a:cs typeface="+mn-cs"/>
              </a:rPr>
              <a:t>vos cotisations sociales exploitant,</a:t>
            </a:r>
            <a:endParaRPr lang="fr-FR" sz="1100">
              <a:effectLst/>
            </a:endParaRPr>
          </a:p>
          <a:p>
            <a:r>
              <a:rPr lang="fr-FR" sz="1100" b="0" baseline="0">
                <a:solidFill>
                  <a:sysClr val="windowText" lastClr="000000"/>
                </a:solidFill>
              </a:rPr>
              <a:t>Vous pouvez aussi prendre en compte </a:t>
            </a:r>
            <a:r>
              <a:rPr lang="fr-FR" sz="1100" b="1" baseline="0">
                <a:solidFill>
                  <a:sysClr val="windowText" lastClr="000000"/>
                </a:solidFill>
              </a:rPr>
              <a:t>la rémunération de la main d'oeuvre familiale</a:t>
            </a:r>
            <a:r>
              <a:rPr lang="fr-FR" sz="1100" b="0" baseline="0">
                <a:solidFill>
                  <a:sysClr val="windowText" lastClr="000000"/>
                </a:solidFill>
              </a:rPr>
              <a:t> en saisissant :</a:t>
            </a:r>
          </a:p>
          <a:p>
            <a:pPr marL="171450" indent="-171450">
              <a:buFont typeface="Arial" panose="020B0604020202020204" pitchFamily="34" charset="0"/>
              <a:buChar char="•"/>
            </a:pPr>
            <a:r>
              <a:rPr lang="fr-FR" sz="1100" b="0" baseline="0">
                <a:solidFill>
                  <a:sysClr val="windowText" lastClr="000000"/>
                </a:solidFill>
              </a:rPr>
              <a:t>la SAU de l'exploitation</a:t>
            </a:r>
          </a:p>
          <a:p>
            <a:pPr marL="171450" indent="-171450">
              <a:buFont typeface="Arial" panose="020B0604020202020204" pitchFamily="34" charset="0"/>
              <a:buChar char="•"/>
            </a:pPr>
            <a:r>
              <a:rPr lang="fr-FR" sz="1100" b="0" baseline="0">
                <a:solidFill>
                  <a:sysClr val="windowText" lastClr="000000"/>
                </a:solidFill>
              </a:rPr>
              <a:t>le nombre d'actifs de main d'oeuvre familiale</a:t>
            </a:r>
          </a:p>
          <a:p>
            <a:pPr marL="171450" indent="-171450">
              <a:buFont typeface="Arial" panose="020B0604020202020204" pitchFamily="34" charset="0"/>
              <a:buChar char="•"/>
            </a:pPr>
            <a:r>
              <a:rPr lang="fr-FR" sz="1100" b="0">
                <a:solidFill>
                  <a:sysClr val="windowText" lastClr="000000"/>
                </a:solidFill>
              </a:rPr>
              <a:t>la</a:t>
            </a:r>
            <a:r>
              <a:rPr lang="fr-FR" sz="1100" b="0" baseline="0">
                <a:solidFill>
                  <a:sysClr val="windowText" lastClr="000000"/>
                </a:solidFill>
              </a:rPr>
              <a:t> rémunération nette mensuelle souhaitée par actif main d'oeuvre fam.</a:t>
            </a:r>
            <a:endParaRPr lang="fr-FR" sz="1100" b="0">
              <a:solidFill>
                <a:sysClr val="windowText" lastClr="000000"/>
              </a:solidFill>
            </a:endParaRPr>
          </a:p>
        </xdr:txBody>
      </xdr:sp>
    </xdr:grpSp>
    <xdr:clientData/>
  </xdr:twoCellAnchor>
  <xdr:twoCellAnchor>
    <xdr:from>
      <xdr:col>7</xdr:col>
      <xdr:colOff>270416</xdr:colOff>
      <xdr:row>85</xdr:row>
      <xdr:rowOff>22505</xdr:rowOff>
    </xdr:from>
    <xdr:to>
      <xdr:col>25</xdr:col>
      <xdr:colOff>190500</xdr:colOff>
      <xdr:row>118</xdr:row>
      <xdr:rowOff>158917</xdr:rowOff>
    </xdr:to>
    <xdr:grpSp>
      <xdr:nvGrpSpPr>
        <xdr:cNvPr id="66" name="Groupe 65">
          <a:extLst>
            <a:ext uri="{FF2B5EF4-FFF2-40B4-BE49-F238E27FC236}">
              <a16:creationId xmlns:a16="http://schemas.microsoft.com/office/drawing/2014/main" id="{51347C7F-800C-43F5-B0F9-9A93F258CA1F}"/>
            </a:ext>
          </a:extLst>
        </xdr:cNvPr>
        <xdr:cNvGrpSpPr/>
      </xdr:nvGrpSpPr>
      <xdr:grpSpPr>
        <a:xfrm>
          <a:off x="4965681" y="17974329"/>
          <a:ext cx="12593937" cy="6422912"/>
          <a:chOff x="5032916" y="18061941"/>
          <a:chExt cx="12593937" cy="6422912"/>
        </a:xfrm>
      </xdr:grpSpPr>
      <xdr:sp macro="" textlink="">
        <xdr:nvSpPr>
          <xdr:cNvPr id="134" name="ZoneTexte 133">
            <a:extLst>
              <a:ext uri="{FF2B5EF4-FFF2-40B4-BE49-F238E27FC236}">
                <a16:creationId xmlns:a16="http://schemas.microsoft.com/office/drawing/2014/main" id="{A4F2EA2E-A68B-4205-A68E-217BC1859506}"/>
              </a:ext>
            </a:extLst>
          </xdr:cNvPr>
          <xdr:cNvSpPr txBox="1"/>
        </xdr:nvSpPr>
        <xdr:spPr>
          <a:xfrm>
            <a:off x="5150475" y="18156072"/>
            <a:ext cx="12476378" cy="6328781"/>
          </a:xfrm>
          <a:prstGeom prst="rect">
            <a:avLst/>
          </a:prstGeom>
          <a:noFill/>
          <a:ln w="63500" cmpd="thickThin">
            <a:solidFill>
              <a:srgbClr val="CCFF6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buFont typeface="Arial" panose="020B0604020202020204" pitchFamily="34" charset="0"/>
              <a:buNone/>
            </a:pPr>
            <a:endParaRPr lang="fr-FR" sz="1100">
              <a:solidFill>
                <a:schemeClr val="tx1"/>
              </a:solidFill>
              <a:effectLst/>
              <a:latin typeface="+mn-lt"/>
              <a:ea typeface="+mn-ea"/>
              <a:cs typeface="+mn-cs"/>
            </a:endParaRPr>
          </a:p>
          <a:p>
            <a:pPr marL="0" indent="0">
              <a:buFont typeface="Arial" panose="020B0604020202020204" pitchFamily="34" charset="0"/>
              <a:buNone/>
            </a:pPr>
            <a:r>
              <a:rPr lang="fr-FR" sz="1600" b="1">
                <a:solidFill>
                  <a:sysClr val="windowText" lastClr="000000"/>
                </a:solidFill>
                <a:effectLst/>
                <a:latin typeface="+mn-lt"/>
                <a:ea typeface="+mn-ea"/>
                <a:cs typeface="+mn-cs"/>
              </a:rPr>
              <a:t>                             RESULTATS Synthèse</a:t>
            </a:r>
          </a:p>
        </xdr:txBody>
      </xdr:sp>
      <xdr:grpSp>
        <xdr:nvGrpSpPr>
          <xdr:cNvPr id="92" name="Groupe 91">
            <a:extLst>
              <a:ext uri="{FF2B5EF4-FFF2-40B4-BE49-F238E27FC236}">
                <a16:creationId xmlns:a16="http://schemas.microsoft.com/office/drawing/2014/main" id="{15B59C2A-A836-40DF-BA7B-498B7EFD823A}"/>
              </a:ext>
            </a:extLst>
          </xdr:cNvPr>
          <xdr:cNvGrpSpPr/>
        </xdr:nvGrpSpPr>
        <xdr:grpSpPr>
          <a:xfrm>
            <a:off x="5239753" y="18788553"/>
            <a:ext cx="4750429" cy="4416137"/>
            <a:chOff x="5239878" y="19502664"/>
            <a:chExt cx="4745182" cy="4416137"/>
          </a:xfrm>
        </xdr:grpSpPr>
        <xdr:pic>
          <xdr:nvPicPr>
            <xdr:cNvPr id="75" name="Image 74">
              <a:extLst>
                <a:ext uri="{FF2B5EF4-FFF2-40B4-BE49-F238E27FC236}">
                  <a16:creationId xmlns:a16="http://schemas.microsoft.com/office/drawing/2014/main" id="{1D505FF8-578C-4EC5-BA44-C8101168E1BB}"/>
                </a:ext>
              </a:extLst>
            </xdr:cNvPr>
            <xdr:cNvPicPr>
              <a:picLocks noChangeAspect="1"/>
            </xdr:cNvPicPr>
          </xdr:nvPicPr>
          <xdr:blipFill>
            <a:blip xmlns:r="http://schemas.openxmlformats.org/officeDocument/2006/relationships" r:embed="rId5"/>
            <a:stretch>
              <a:fillRect/>
            </a:stretch>
          </xdr:blipFill>
          <xdr:spPr>
            <a:xfrm>
              <a:off x="5276019" y="19633856"/>
              <a:ext cx="4626104" cy="4080052"/>
            </a:xfrm>
            <a:prstGeom prst="rect">
              <a:avLst/>
            </a:prstGeom>
          </xdr:spPr>
        </xdr:pic>
        <xdr:sp macro="" textlink="">
          <xdr:nvSpPr>
            <xdr:cNvPr id="191" name="Rectangle : coins arrondis 190">
              <a:extLst>
                <a:ext uri="{FF2B5EF4-FFF2-40B4-BE49-F238E27FC236}">
                  <a16:creationId xmlns:a16="http://schemas.microsoft.com/office/drawing/2014/main" id="{CDD8845B-6627-4320-B383-F01FA6D3E382}"/>
                </a:ext>
              </a:extLst>
            </xdr:cNvPr>
            <xdr:cNvSpPr/>
          </xdr:nvSpPr>
          <xdr:spPr>
            <a:xfrm>
              <a:off x="5239878" y="19502664"/>
              <a:ext cx="4745182" cy="4416137"/>
            </a:xfrm>
            <a:prstGeom prst="roundRect">
              <a:avLst>
                <a:gd name="adj" fmla="val 3334"/>
              </a:avLst>
            </a:prstGeom>
            <a:noFill/>
            <a:ln w="3810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nvGrpSpPr>
          <xdr:cNvPr id="63" name="Groupe 62">
            <a:extLst>
              <a:ext uri="{FF2B5EF4-FFF2-40B4-BE49-F238E27FC236}">
                <a16:creationId xmlns:a16="http://schemas.microsoft.com/office/drawing/2014/main" id="{5861C59C-EB95-4B59-9B9F-E7AA13DAECD8}"/>
              </a:ext>
            </a:extLst>
          </xdr:cNvPr>
          <xdr:cNvGrpSpPr/>
        </xdr:nvGrpSpPr>
        <xdr:grpSpPr>
          <a:xfrm>
            <a:off x="10105979" y="18288452"/>
            <a:ext cx="7388538" cy="2929677"/>
            <a:chOff x="10105979" y="18288452"/>
            <a:chExt cx="7388538" cy="2929677"/>
          </a:xfrm>
        </xdr:grpSpPr>
        <xdr:pic>
          <xdr:nvPicPr>
            <xdr:cNvPr id="43" name="Image 42">
              <a:extLst>
                <a:ext uri="{FF2B5EF4-FFF2-40B4-BE49-F238E27FC236}">
                  <a16:creationId xmlns:a16="http://schemas.microsoft.com/office/drawing/2014/main" id="{EA236FB8-9750-43ED-B79E-BC85BEDC62F5}"/>
                </a:ext>
              </a:extLst>
            </xdr:cNvPr>
            <xdr:cNvPicPr>
              <a:picLocks noChangeAspect="1"/>
            </xdr:cNvPicPr>
          </xdr:nvPicPr>
          <xdr:blipFill>
            <a:blip xmlns:r="http://schemas.openxmlformats.org/officeDocument/2006/relationships" r:embed="rId6"/>
            <a:stretch>
              <a:fillRect/>
            </a:stretch>
          </xdr:blipFill>
          <xdr:spPr>
            <a:xfrm>
              <a:off x="10156029" y="18319262"/>
              <a:ext cx="7280324" cy="2872551"/>
            </a:xfrm>
            <a:prstGeom prst="rect">
              <a:avLst/>
            </a:prstGeom>
          </xdr:spPr>
        </xdr:pic>
        <xdr:grpSp>
          <xdr:nvGrpSpPr>
            <xdr:cNvPr id="93" name="Groupe 92">
              <a:extLst>
                <a:ext uri="{FF2B5EF4-FFF2-40B4-BE49-F238E27FC236}">
                  <a16:creationId xmlns:a16="http://schemas.microsoft.com/office/drawing/2014/main" id="{3B8C83D9-8A44-4BF0-8A33-AE85E7E2491B}"/>
                </a:ext>
              </a:extLst>
            </xdr:cNvPr>
            <xdr:cNvGrpSpPr/>
          </xdr:nvGrpSpPr>
          <xdr:grpSpPr>
            <a:xfrm>
              <a:off x="10105979" y="18288452"/>
              <a:ext cx="7388538" cy="2929677"/>
              <a:chOff x="10101020" y="19002563"/>
              <a:chExt cx="7396367" cy="2929677"/>
            </a:xfrm>
          </xdr:grpSpPr>
          <xdr:sp macro="" textlink="">
            <xdr:nvSpPr>
              <xdr:cNvPr id="192" name="Rectangle : coins arrondis 191">
                <a:extLst>
                  <a:ext uri="{FF2B5EF4-FFF2-40B4-BE49-F238E27FC236}">
                    <a16:creationId xmlns:a16="http://schemas.microsoft.com/office/drawing/2014/main" id="{90D73E14-88D4-4052-801A-22F60CACE149}"/>
                  </a:ext>
                </a:extLst>
              </xdr:cNvPr>
              <xdr:cNvSpPr/>
            </xdr:nvSpPr>
            <xdr:spPr>
              <a:xfrm flipH="1">
                <a:off x="10101020" y="19002563"/>
                <a:ext cx="3723409" cy="2927312"/>
              </a:xfrm>
              <a:prstGeom prst="roundRect">
                <a:avLst>
                  <a:gd name="adj" fmla="val 3334"/>
                </a:avLst>
              </a:prstGeom>
              <a:noFill/>
              <a:ln w="3810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93" name="Rectangle : coins arrondis 192">
                <a:extLst>
                  <a:ext uri="{FF2B5EF4-FFF2-40B4-BE49-F238E27FC236}">
                    <a16:creationId xmlns:a16="http://schemas.microsoft.com/office/drawing/2014/main" id="{0DAD055A-AA4D-4AF1-B2C1-563EDF385F9F}"/>
                  </a:ext>
                </a:extLst>
              </xdr:cNvPr>
              <xdr:cNvSpPr/>
            </xdr:nvSpPr>
            <xdr:spPr>
              <a:xfrm flipH="1">
                <a:off x="13828497" y="19007156"/>
                <a:ext cx="3668890" cy="2925084"/>
              </a:xfrm>
              <a:prstGeom prst="roundRect">
                <a:avLst>
                  <a:gd name="adj" fmla="val 3334"/>
                </a:avLst>
              </a:prstGeom>
              <a:noFill/>
              <a:ln w="3810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grpSp>
        <xdr:nvGrpSpPr>
          <xdr:cNvPr id="64" name="Groupe 63">
            <a:extLst>
              <a:ext uri="{FF2B5EF4-FFF2-40B4-BE49-F238E27FC236}">
                <a16:creationId xmlns:a16="http://schemas.microsoft.com/office/drawing/2014/main" id="{1AA34A8E-4055-48DC-B466-B27C7E761895}"/>
              </a:ext>
            </a:extLst>
          </xdr:cNvPr>
          <xdr:cNvGrpSpPr/>
        </xdr:nvGrpSpPr>
        <xdr:grpSpPr>
          <a:xfrm>
            <a:off x="10118006" y="21324340"/>
            <a:ext cx="7393050" cy="2447199"/>
            <a:chOff x="10118006" y="21324340"/>
            <a:chExt cx="7393050" cy="2447199"/>
          </a:xfrm>
        </xdr:grpSpPr>
        <xdr:pic>
          <xdr:nvPicPr>
            <xdr:cNvPr id="52" name="Image 51">
              <a:extLst>
                <a:ext uri="{FF2B5EF4-FFF2-40B4-BE49-F238E27FC236}">
                  <a16:creationId xmlns:a16="http://schemas.microsoft.com/office/drawing/2014/main" id="{8DDFD207-B80E-413A-8B02-69BF943D7B24}"/>
                </a:ext>
              </a:extLst>
            </xdr:cNvPr>
            <xdr:cNvPicPr>
              <a:picLocks noChangeAspect="1"/>
            </xdr:cNvPicPr>
          </xdr:nvPicPr>
          <xdr:blipFill>
            <a:blip xmlns:r="http://schemas.openxmlformats.org/officeDocument/2006/relationships" r:embed="rId7"/>
            <a:stretch>
              <a:fillRect/>
            </a:stretch>
          </xdr:blipFill>
          <xdr:spPr>
            <a:xfrm>
              <a:off x="10189935" y="21371048"/>
              <a:ext cx="7252019" cy="2319588"/>
            </a:xfrm>
            <a:prstGeom prst="rect">
              <a:avLst/>
            </a:prstGeom>
          </xdr:spPr>
        </xdr:pic>
        <xdr:sp macro="" textlink="">
          <xdr:nvSpPr>
            <xdr:cNvPr id="194" name="Rectangle : coins arrondis 193">
              <a:extLst>
                <a:ext uri="{FF2B5EF4-FFF2-40B4-BE49-F238E27FC236}">
                  <a16:creationId xmlns:a16="http://schemas.microsoft.com/office/drawing/2014/main" id="{1BC0A3D5-55C3-4B15-95AC-0BDC24C14530}"/>
                </a:ext>
              </a:extLst>
            </xdr:cNvPr>
            <xdr:cNvSpPr/>
          </xdr:nvSpPr>
          <xdr:spPr>
            <a:xfrm flipH="1">
              <a:off x="10118006" y="21324340"/>
              <a:ext cx="7393050" cy="2447199"/>
            </a:xfrm>
            <a:prstGeom prst="roundRect">
              <a:avLst>
                <a:gd name="adj" fmla="val 3334"/>
              </a:avLst>
            </a:prstGeom>
            <a:noFill/>
            <a:ln w="3810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136" name="Rectangle : coins arrondis 135">
            <a:extLst>
              <a:ext uri="{FF2B5EF4-FFF2-40B4-BE49-F238E27FC236}">
                <a16:creationId xmlns:a16="http://schemas.microsoft.com/office/drawing/2014/main" id="{60CDB14C-C586-4AE5-B9FF-83C3AC691D3E}"/>
              </a:ext>
            </a:extLst>
          </xdr:cNvPr>
          <xdr:cNvSpPr/>
        </xdr:nvSpPr>
        <xdr:spPr>
          <a:xfrm>
            <a:off x="5032916" y="18061941"/>
            <a:ext cx="641102" cy="631314"/>
          </a:xfrm>
          <a:prstGeom prst="roundRect">
            <a:avLst/>
          </a:prstGeom>
          <a:solidFill>
            <a:srgbClr val="CCFF66"/>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000" b="1">
                <a:solidFill>
                  <a:sysClr val="windowText" lastClr="000000"/>
                </a:solidFill>
              </a:rPr>
              <a:t>3</a:t>
            </a:r>
          </a:p>
        </xdr:txBody>
      </xdr:sp>
      <xdr:grpSp>
        <xdr:nvGrpSpPr>
          <xdr:cNvPr id="65" name="Groupe 64">
            <a:extLst>
              <a:ext uri="{FF2B5EF4-FFF2-40B4-BE49-F238E27FC236}">
                <a16:creationId xmlns:a16="http://schemas.microsoft.com/office/drawing/2014/main" id="{06652180-56E3-4D27-AC8F-D57580E53AA1}"/>
              </a:ext>
            </a:extLst>
          </xdr:cNvPr>
          <xdr:cNvGrpSpPr/>
        </xdr:nvGrpSpPr>
        <xdr:grpSpPr>
          <a:xfrm>
            <a:off x="5286375" y="20794671"/>
            <a:ext cx="12174353" cy="3561895"/>
            <a:chOff x="5286375" y="20794671"/>
            <a:chExt cx="12174353" cy="3561895"/>
          </a:xfrm>
        </xdr:grpSpPr>
        <xdr:sp macro="" textlink="">
          <xdr:nvSpPr>
            <xdr:cNvPr id="195" name="ZoneTexte 194">
              <a:extLst>
                <a:ext uri="{FF2B5EF4-FFF2-40B4-BE49-F238E27FC236}">
                  <a16:creationId xmlns:a16="http://schemas.microsoft.com/office/drawing/2014/main" id="{2A30D573-AC10-4891-9A53-8F4C692CD88A}"/>
                </a:ext>
              </a:extLst>
            </xdr:cNvPr>
            <xdr:cNvSpPr txBox="1"/>
          </xdr:nvSpPr>
          <xdr:spPr>
            <a:xfrm>
              <a:off x="5286375" y="24028548"/>
              <a:ext cx="12171959" cy="328018"/>
            </a:xfrm>
            <a:prstGeom prst="rect">
              <a:avLst/>
            </a:prstGeom>
            <a:solidFill>
              <a:srgbClr val="CCFF66">
                <a:alpha val="96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100"/>
                <a:t>L'onglet</a:t>
              </a:r>
              <a:r>
                <a:rPr lang="fr-FR" sz="1100" baseline="0"/>
                <a:t> </a:t>
              </a:r>
              <a:r>
                <a:rPr lang="fr-FR" sz="1100" b="1" baseline="0"/>
                <a:t>RESULTATS Synthèse</a:t>
              </a:r>
              <a:r>
                <a:rPr lang="fr-FR" sz="1100" baseline="0"/>
                <a:t>, est repris en détail dans les onglets : </a:t>
              </a:r>
            </a:p>
          </xdr:txBody>
        </xdr:sp>
        <xdr:cxnSp macro="">
          <xdr:nvCxnSpPr>
            <xdr:cNvPr id="199" name="Connecteur droit avec flèche 198">
              <a:extLst>
                <a:ext uri="{FF2B5EF4-FFF2-40B4-BE49-F238E27FC236}">
                  <a16:creationId xmlns:a16="http://schemas.microsoft.com/office/drawing/2014/main" id="{5E05AB81-8653-4915-9DD0-04ED2F1678B7}"/>
                </a:ext>
              </a:extLst>
            </xdr:cNvPr>
            <xdr:cNvCxnSpPr/>
          </xdr:nvCxnSpPr>
          <xdr:spPr>
            <a:xfrm flipH="1" flipV="1">
              <a:off x="8711712" y="22919478"/>
              <a:ext cx="674076" cy="1238250"/>
            </a:xfrm>
            <a:prstGeom prst="straightConnector1">
              <a:avLst/>
            </a:prstGeom>
            <a:ln w="38100">
              <a:solidFill>
                <a:schemeClr val="accent3">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03" name="Connecteur droit avec flèche 202">
              <a:extLst>
                <a:ext uri="{FF2B5EF4-FFF2-40B4-BE49-F238E27FC236}">
                  <a16:creationId xmlns:a16="http://schemas.microsoft.com/office/drawing/2014/main" id="{D35AF6CE-2580-4BBF-B0EE-06850C395815}"/>
                </a:ext>
              </a:extLst>
            </xdr:cNvPr>
            <xdr:cNvCxnSpPr/>
          </xdr:nvCxnSpPr>
          <xdr:spPr>
            <a:xfrm flipV="1">
              <a:off x="11027019" y="23498305"/>
              <a:ext cx="307731" cy="652097"/>
            </a:xfrm>
            <a:prstGeom prst="straightConnector1">
              <a:avLst/>
            </a:prstGeom>
            <a:ln w="38100">
              <a:solidFill>
                <a:schemeClr val="accent3">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2" name="ZoneTexte 121">
              <a:extLst>
                <a:ext uri="{FF2B5EF4-FFF2-40B4-BE49-F238E27FC236}">
                  <a16:creationId xmlns:a16="http://schemas.microsoft.com/office/drawing/2014/main" id="{0F6336B9-CBD5-4BEA-83D6-E3D556F3081C}"/>
                </a:ext>
              </a:extLst>
            </xdr:cNvPr>
            <xdr:cNvSpPr txBox="1"/>
          </xdr:nvSpPr>
          <xdr:spPr>
            <a:xfrm>
              <a:off x="13467764" y="24025113"/>
              <a:ext cx="1949586" cy="331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r-FR" sz="1100" b="1">
                  <a:solidFill>
                    <a:schemeClr val="dk1"/>
                  </a:solidFill>
                  <a:effectLst/>
                  <a:latin typeface="+mn-lt"/>
                  <a:ea typeface="+mn-ea"/>
                  <a:cs typeface="+mn-cs"/>
                </a:rPr>
                <a:t>RESULTATS Ecart € Tonne</a:t>
              </a:r>
              <a:endParaRPr lang="fr-FR" sz="1100">
                <a:effectLst/>
              </a:endParaRPr>
            </a:p>
          </xdr:txBody>
        </xdr:sp>
        <xdr:cxnSp macro="">
          <xdr:nvCxnSpPr>
            <xdr:cNvPr id="196" name="Connecteur droit avec flèche 195">
              <a:extLst>
                <a:ext uri="{FF2B5EF4-FFF2-40B4-BE49-F238E27FC236}">
                  <a16:creationId xmlns:a16="http://schemas.microsoft.com/office/drawing/2014/main" id="{10FDF8BB-6E0D-4E5B-97E6-2E2274D713F5}"/>
                </a:ext>
              </a:extLst>
            </xdr:cNvPr>
            <xdr:cNvCxnSpPr/>
          </xdr:nvCxnSpPr>
          <xdr:spPr>
            <a:xfrm flipH="1" flipV="1">
              <a:off x="12723848" y="20845959"/>
              <a:ext cx="836563" cy="3311770"/>
            </a:xfrm>
            <a:prstGeom prst="straightConnector1">
              <a:avLst/>
            </a:prstGeom>
            <a:ln w="38100">
              <a:solidFill>
                <a:schemeClr val="accent3">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09" name="Connecteur droit avec flèche 208">
              <a:extLst>
                <a:ext uri="{FF2B5EF4-FFF2-40B4-BE49-F238E27FC236}">
                  <a16:creationId xmlns:a16="http://schemas.microsoft.com/office/drawing/2014/main" id="{0EA0F64C-A12D-4A32-BB2A-F85374AF5536}"/>
                </a:ext>
              </a:extLst>
            </xdr:cNvPr>
            <xdr:cNvCxnSpPr/>
          </xdr:nvCxnSpPr>
          <xdr:spPr>
            <a:xfrm flipV="1">
              <a:off x="15648584" y="20794671"/>
              <a:ext cx="1091711" cy="3348403"/>
            </a:xfrm>
            <a:prstGeom prst="straightConnector1">
              <a:avLst/>
            </a:prstGeom>
            <a:ln w="38100">
              <a:solidFill>
                <a:schemeClr val="accent3">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2" name="ZoneTexte 101">
              <a:extLst>
                <a:ext uri="{FF2B5EF4-FFF2-40B4-BE49-F238E27FC236}">
                  <a16:creationId xmlns:a16="http://schemas.microsoft.com/office/drawing/2014/main" id="{B0508920-A9AE-421F-B111-8FF41DCF5D91}"/>
                </a:ext>
              </a:extLst>
            </xdr:cNvPr>
            <xdr:cNvSpPr txBox="1"/>
          </xdr:nvSpPr>
          <xdr:spPr>
            <a:xfrm>
              <a:off x="15511142" y="24028069"/>
              <a:ext cx="1949586" cy="328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171450" indent="-171450" algn="l">
                <a:buFont typeface="Arial" panose="020B0604020202020204" pitchFamily="34" charset="0"/>
                <a:buChar char="•"/>
              </a:pPr>
              <a:r>
                <a:rPr lang="fr-FR" sz="1100" b="1">
                  <a:solidFill>
                    <a:sysClr val="windowText" lastClr="000000"/>
                  </a:solidFill>
                </a:rPr>
                <a:t>RESULTATS Ecart € Hectare</a:t>
              </a:r>
            </a:p>
          </xdr:txBody>
        </xdr:sp>
        <xdr:sp macro="" textlink="">
          <xdr:nvSpPr>
            <xdr:cNvPr id="103" name="ZoneTexte 102">
              <a:extLst>
                <a:ext uri="{FF2B5EF4-FFF2-40B4-BE49-F238E27FC236}">
                  <a16:creationId xmlns:a16="http://schemas.microsoft.com/office/drawing/2014/main" id="{D2C653E0-E8D7-46E2-9E23-B2061E63BDA8}"/>
                </a:ext>
              </a:extLst>
            </xdr:cNvPr>
            <xdr:cNvSpPr txBox="1"/>
          </xdr:nvSpPr>
          <xdr:spPr>
            <a:xfrm>
              <a:off x="10886547" y="24030615"/>
              <a:ext cx="2802339" cy="325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171450" indent="-171450" eaLnBrk="1" fontAlgn="auto" latinLnBrk="0" hangingPunct="1">
                <a:buFont typeface="Arial" panose="020B0604020202020204" pitchFamily="34" charset="0"/>
                <a:buChar char="•"/>
              </a:pPr>
              <a:r>
                <a:rPr lang="fr-FR" sz="1100" b="1" baseline="0">
                  <a:solidFill>
                    <a:schemeClr val="dk1"/>
                  </a:solidFill>
                  <a:effectLst/>
                  <a:latin typeface="+mn-lt"/>
                  <a:ea typeface="+mn-ea"/>
                  <a:cs typeface="+mn-cs"/>
                </a:rPr>
                <a:t>RESULTATS CoutP-Seuil Com-Marge</a:t>
              </a:r>
              <a:endParaRPr lang="fr-FR">
                <a:effectLst/>
              </a:endParaRPr>
            </a:p>
          </xdr:txBody>
        </xdr:sp>
        <xdr:sp macro="" textlink="">
          <xdr:nvSpPr>
            <xdr:cNvPr id="104" name="ZoneTexte 103">
              <a:extLst>
                <a:ext uri="{FF2B5EF4-FFF2-40B4-BE49-F238E27FC236}">
                  <a16:creationId xmlns:a16="http://schemas.microsoft.com/office/drawing/2014/main" id="{3E61D204-FE23-4E08-A5DA-A0015603B17F}"/>
                </a:ext>
              </a:extLst>
            </xdr:cNvPr>
            <xdr:cNvSpPr txBox="1"/>
          </xdr:nvSpPr>
          <xdr:spPr>
            <a:xfrm>
              <a:off x="9274627" y="24026180"/>
              <a:ext cx="1949586" cy="330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171450" indent="-171450" eaLnBrk="1" fontAlgn="auto" latinLnBrk="0" hangingPunct="1">
                <a:buFont typeface="Arial" panose="020B0604020202020204" pitchFamily="34" charset="0"/>
                <a:buChar char="•"/>
              </a:pPr>
              <a:r>
                <a:rPr lang="fr-FR" sz="1100" b="1" baseline="0">
                  <a:solidFill>
                    <a:schemeClr val="dk1"/>
                  </a:solidFill>
                  <a:effectLst/>
                  <a:latin typeface="+mn-lt"/>
                  <a:ea typeface="+mn-ea"/>
                  <a:cs typeface="+mn-cs"/>
                </a:rPr>
                <a:t>RESULTAT Tableaux</a:t>
              </a:r>
              <a:endParaRPr lang="fr-FR" sz="1100">
                <a:effectLst/>
              </a:endParaRPr>
            </a:p>
          </xdr:txBody>
        </xdr:sp>
      </xdr:grpSp>
    </xdr:grpSp>
    <xdr:clientData/>
  </xdr:twoCellAnchor>
  <xdr:twoCellAnchor>
    <xdr:from>
      <xdr:col>15</xdr:col>
      <xdr:colOff>486104</xdr:colOff>
      <xdr:row>80</xdr:row>
      <xdr:rowOff>30919</xdr:rowOff>
    </xdr:from>
    <xdr:to>
      <xdr:col>16</xdr:col>
      <xdr:colOff>226012</xdr:colOff>
      <xdr:row>81</xdr:row>
      <xdr:rowOff>18674</xdr:rowOff>
    </xdr:to>
    <xdr:sp macro="" textlink="">
      <xdr:nvSpPr>
        <xdr:cNvPr id="180" name="Ellipse 179">
          <a:extLst>
            <a:ext uri="{FF2B5EF4-FFF2-40B4-BE49-F238E27FC236}">
              <a16:creationId xmlns:a16="http://schemas.microsoft.com/office/drawing/2014/main" id="{9515278B-C3A8-4B5B-BDEE-DC7BCDAE8B6B}"/>
            </a:ext>
          </a:extLst>
        </xdr:cNvPr>
        <xdr:cNvSpPr/>
      </xdr:nvSpPr>
      <xdr:spPr>
        <a:xfrm>
          <a:off x="10135914" y="17031402"/>
          <a:ext cx="501908" cy="178255"/>
        </a:xfrm>
        <a:prstGeom prst="ellipse">
          <a:avLst/>
        </a:prstGeom>
        <a:no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16</xdr:col>
      <xdr:colOff>218090</xdr:colOff>
      <xdr:row>81</xdr:row>
      <xdr:rowOff>5957</xdr:rowOff>
    </xdr:from>
    <xdr:to>
      <xdr:col>16</xdr:col>
      <xdr:colOff>761999</xdr:colOff>
      <xdr:row>81</xdr:row>
      <xdr:rowOff>184212</xdr:rowOff>
    </xdr:to>
    <xdr:sp macro="" textlink="">
      <xdr:nvSpPr>
        <xdr:cNvPr id="183" name="Ellipse 182">
          <a:extLst>
            <a:ext uri="{FF2B5EF4-FFF2-40B4-BE49-F238E27FC236}">
              <a16:creationId xmlns:a16="http://schemas.microsoft.com/office/drawing/2014/main" id="{2DE4C076-7E35-42B5-BB25-9A1ACE49FC57}"/>
            </a:ext>
          </a:extLst>
        </xdr:cNvPr>
        <xdr:cNvSpPr/>
      </xdr:nvSpPr>
      <xdr:spPr>
        <a:xfrm>
          <a:off x="10629900" y="17196940"/>
          <a:ext cx="543909" cy="178255"/>
        </a:xfrm>
        <a:prstGeom prst="ellipse">
          <a:avLst/>
        </a:prstGeom>
        <a:no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11</xdr:col>
      <xdr:colOff>73259</xdr:colOff>
      <xdr:row>59</xdr:row>
      <xdr:rowOff>187170</xdr:rowOff>
    </xdr:from>
    <xdr:to>
      <xdr:col>12</xdr:col>
      <xdr:colOff>148633</xdr:colOff>
      <xdr:row>60</xdr:row>
      <xdr:rowOff>158993</xdr:rowOff>
    </xdr:to>
    <xdr:sp macro="" textlink="">
      <xdr:nvSpPr>
        <xdr:cNvPr id="185" name="Ellipse 184">
          <a:extLst>
            <a:ext uri="{FF2B5EF4-FFF2-40B4-BE49-F238E27FC236}">
              <a16:creationId xmlns:a16="http://schemas.microsoft.com/office/drawing/2014/main" id="{34D9C71C-5BCB-44CD-807F-463D4110EFF4}"/>
            </a:ext>
          </a:extLst>
        </xdr:cNvPr>
        <xdr:cNvSpPr/>
      </xdr:nvSpPr>
      <xdr:spPr>
        <a:xfrm>
          <a:off x="7303976" y="13190866"/>
          <a:ext cx="580614" cy="162323"/>
        </a:xfrm>
        <a:prstGeom prst="ellipse">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63604</xdr:colOff>
      <xdr:row>47</xdr:row>
      <xdr:rowOff>179454</xdr:rowOff>
    </xdr:from>
    <xdr:to>
      <xdr:col>18</xdr:col>
      <xdr:colOff>389777</xdr:colOff>
      <xdr:row>60</xdr:row>
      <xdr:rowOff>20442</xdr:rowOff>
    </xdr:to>
    <xdr:cxnSp macro="">
      <xdr:nvCxnSpPr>
        <xdr:cNvPr id="186" name="Connecteur droit avec flèche 185">
          <a:extLst>
            <a:ext uri="{FF2B5EF4-FFF2-40B4-BE49-F238E27FC236}">
              <a16:creationId xmlns:a16="http://schemas.microsoft.com/office/drawing/2014/main" id="{B36FCC5F-BC60-46D6-A4B7-93482D63EC7A}"/>
            </a:ext>
          </a:extLst>
        </xdr:cNvPr>
        <xdr:cNvCxnSpPr>
          <a:stCxn id="111" idx="1"/>
          <a:endCxn id="185" idx="7"/>
        </xdr:cNvCxnSpPr>
      </xdr:nvCxnSpPr>
      <xdr:spPr>
        <a:xfrm flipH="1">
          <a:off x="7799561" y="10897150"/>
          <a:ext cx="4931303" cy="2317488"/>
        </a:xfrm>
        <a:prstGeom prst="straightConnector1">
          <a:avLst/>
        </a:prstGeom>
        <a:ln w="3810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593914</xdr:colOff>
      <xdr:row>0</xdr:row>
      <xdr:rowOff>202175</xdr:rowOff>
    </xdr:from>
    <xdr:to>
      <xdr:col>15</xdr:col>
      <xdr:colOff>265312</xdr:colOff>
      <xdr:row>3</xdr:row>
      <xdr:rowOff>161164</xdr:rowOff>
    </xdr:to>
    <xdr:grpSp>
      <xdr:nvGrpSpPr>
        <xdr:cNvPr id="55" name="Groupe 54">
          <a:extLst>
            <a:ext uri="{FF2B5EF4-FFF2-40B4-BE49-F238E27FC236}">
              <a16:creationId xmlns:a16="http://schemas.microsoft.com/office/drawing/2014/main" id="{0C47FD21-CEC0-B18C-E9B6-3DF28DCCE291}"/>
            </a:ext>
          </a:extLst>
        </xdr:cNvPr>
        <xdr:cNvGrpSpPr/>
      </xdr:nvGrpSpPr>
      <xdr:grpSpPr>
        <a:xfrm>
          <a:off x="3003179" y="202175"/>
          <a:ext cx="6910398" cy="765813"/>
          <a:chOff x="2353236" y="67703"/>
          <a:chExt cx="6910398" cy="765813"/>
        </a:xfrm>
      </xdr:grpSpPr>
      <xdr:grpSp>
        <xdr:nvGrpSpPr>
          <xdr:cNvPr id="38" name="Groupe 37">
            <a:extLst>
              <a:ext uri="{FF2B5EF4-FFF2-40B4-BE49-F238E27FC236}">
                <a16:creationId xmlns:a16="http://schemas.microsoft.com/office/drawing/2014/main" id="{EC6FE271-6850-402F-933E-2B8027F54436}"/>
              </a:ext>
            </a:extLst>
          </xdr:cNvPr>
          <xdr:cNvGrpSpPr/>
        </xdr:nvGrpSpPr>
        <xdr:grpSpPr>
          <a:xfrm>
            <a:off x="5386557" y="67703"/>
            <a:ext cx="3877077" cy="765813"/>
            <a:chOff x="1726825" y="67929"/>
            <a:chExt cx="3883670" cy="768372"/>
          </a:xfrm>
        </xdr:grpSpPr>
        <xdr:pic>
          <xdr:nvPicPr>
            <xdr:cNvPr id="39" name="Image 38">
              <a:extLst>
                <a:ext uri="{FF2B5EF4-FFF2-40B4-BE49-F238E27FC236}">
                  <a16:creationId xmlns:a16="http://schemas.microsoft.com/office/drawing/2014/main" id="{85FD2A08-5E67-4335-BA79-61FDC9658A0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548869" y="99862"/>
              <a:ext cx="436789" cy="716240"/>
            </a:xfrm>
            <a:prstGeom prst="rect">
              <a:avLst/>
            </a:prstGeom>
          </xdr:spPr>
        </xdr:pic>
        <xdr:grpSp>
          <xdr:nvGrpSpPr>
            <xdr:cNvPr id="40" name="Groupe 39">
              <a:extLst>
                <a:ext uri="{FF2B5EF4-FFF2-40B4-BE49-F238E27FC236}">
                  <a16:creationId xmlns:a16="http://schemas.microsoft.com/office/drawing/2014/main" id="{80117655-03A1-451B-9C41-00975B39DB8C}"/>
                </a:ext>
              </a:extLst>
            </xdr:cNvPr>
            <xdr:cNvGrpSpPr/>
          </xdr:nvGrpSpPr>
          <xdr:grpSpPr>
            <a:xfrm>
              <a:off x="1726825" y="67929"/>
              <a:ext cx="3883670" cy="768372"/>
              <a:chOff x="1804092" y="201706"/>
              <a:chExt cx="3870949" cy="773206"/>
            </a:xfrm>
          </xdr:grpSpPr>
          <xdr:pic>
            <xdr:nvPicPr>
              <xdr:cNvPr id="41" name="Image 40">
                <a:extLst>
                  <a:ext uri="{FF2B5EF4-FFF2-40B4-BE49-F238E27FC236}">
                    <a16:creationId xmlns:a16="http://schemas.microsoft.com/office/drawing/2014/main" id="{421B40A3-920C-4C0C-B34F-DF1DE6BE2AA9}"/>
                  </a:ext>
                </a:extLst>
              </xdr:cNvPr>
              <xdr:cNvPicPr>
                <a:picLocks noChangeAspect="1"/>
              </xdr:cNvPicPr>
            </xdr:nvPicPr>
            <xdr:blipFill>
              <a:blip xmlns:r="http://schemas.openxmlformats.org/officeDocument/2006/relationships" r:embed="rId9"/>
              <a:stretch>
                <a:fillRect/>
              </a:stretch>
            </xdr:blipFill>
            <xdr:spPr>
              <a:xfrm>
                <a:off x="3779562" y="201706"/>
                <a:ext cx="749851" cy="773206"/>
              </a:xfrm>
              <a:prstGeom prst="rect">
                <a:avLst/>
              </a:prstGeom>
            </xdr:spPr>
          </xdr:pic>
          <xdr:pic>
            <xdr:nvPicPr>
              <xdr:cNvPr id="42" name="Image 41">
                <a:extLst>
                  <a:ext uri="{FF2B5EF4-FFF2-40B4-BE49-F238E27FC236}">
                    <a16:creationId xmlns:a16="http://schemas.microsoft.com/office/drawing/2014/main" id="{A6D63AA8-D3B7-4BE3-96C2-130B00E74741}"/>
                  </a:ext>
                </a:extLst>
              </xdr:cNvPr>
              <xdr:cNvPicPr>
                <a:picLocks noChangeAspect="1"/>
              </xdr:cNvPicPr>
            </xdr:nvPicPr>
            <xdr:blipFill>
              <a:blip xmlns:r="http://schemas.openxmlformats.org/officeDocument/2006/relationships" r:embed="rId10"/>
              <a:stretch>
                <a:fillRect/>
              </a:stretch>
            </xdr:blipFill>
            <xdr:spPr>
              <a:xfrm>
                <a:off x="5178994" y="268939"/>
                <a:ext cx="496047" cy="651443"/>
              </a:xfrm>
              <a:prstGeom prst="rect">
                <a:avLst/>
              </a:prstGeom>
            </xdr:spPr>
          </xdr:pic>
          <xdr:sp macro="" textlink="">
            <xdr:nvSpPr>
              <xdr:cNvPr id="45" name="ZoneTexte 44">
                <a:extLst>
                  <a:ext uri="{FF2B5EF4-FFF2-40B4-BE49-F238E27FC236}">
                    <a16:creationId xmlns:a16="http://schemas.microsoft.com/office/drawing/2014/main" id="{18DC2474-E6AB-4588-9B8C-126E818FF0C3}"/>
                  </a:ext>
                </a:extLst>
              </xdr:cNvPr>
              <xdr:cNvSpPr txBox="1"/>
            </xdr:nvSpPr>
            <xdr:spPr>
              <a:xfrm>
                <a:off x="1804092" y="438150"/>
                <a:ext cx="2072552"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t>Avec la collaboration de</a:t>
                </a:r>
                <a:r>
                  <a:rPr lang="fr-FR" sz="1400" b="1" baseline="0"/>
                  <a:t> :</a:t>
                </a:r>
                <a:endParaRPr lang="fr-FR" sz="1400" b="1"/>
              </a:p>
            </xdr:txBody>
          </xdr:sp>
        </xdr:grpSp>
      </xdr:grpSp>
      <xdr:pic>
        <xdr:nvPicPr>
          <xdr:cNvPr id="54" name="Image 53">
            <a:extLst>
              <a:ext uri="{FF2B5EF4-FFF2-40B4-BE49-F238E27FC236}">
                <a16:creationId xmlns:a16="http://schemas.microsoft.com/office/drawing/2014/main" id="{D961CDF1-38CF-9F6A-C60E-4C96D2C447D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53236" y="201707"/>
            <a:ext cx="2980765" cy="569201"/>
          </a:xfrm>
          <a:prstGeom prst="rect">
            <a:avLst/>
          </a:prstGeom>
        </xdr:spPr>
      </xdr:pic>
    </xdr:grpSp>
    <xdr:clientData/>
  </xdr:twoCellAnchor>
</xdr:wsDr>
</file>

<file path=xl/drawings/drawing10.xml><?xml version="1.0" encoding="utf-8"?>
<c:userShapes xmlns:c="http://schemas.openxmlformats.org/drawingml/2006/chart">
  <cdr:relSizeAnchor xmlns:cdr="http://schemas.openxmlformats.org/drawingml/2006/chartDrawing">
    <cdr:from>
      <cdr:x>0</cdr:x>
      <cdr:y>0.00836</cdr:y>
    </cdr:from>
    <cdr:to>
      <cdr:x>1</cdr:x>
      <cdr:y>0.16409</cdr:y>
    </cdr:to>
    <cdr:sp macro="" textlink="">
      <cdr:nvSpPr>
        <cdr:cNvPr id="2" name="ZoneTexte 1">
          <a:extLst xmlns:a="http://schemas.openxmlformats.org/drawingml/2006/main">
            <a:ext uri="{FF2B5EF4-FFF2-40B4-BE49-F238E27FC236}">
              <a16:creationId xmlns:a16="http://schemas.microsoft.com/office/drawing/2014/main" id="{E895955A-F190-4506-AE42-F5B1C21B2BCE}"/>
            </a:ext>
          </a:extLst>
        </cdr:cNvPr>
        <cdr:cNvSpPr txBox="1"/>
      </cdr:nvSpPr>
      <cdr:spPr>
        <a:xfrm xmlns:a="http://schemas.openxmlformats.org/drawingml/2006/main">
          <a:off x="0" y="28549"/>
          <a:ext cx="3001774" cy="53174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600" b="1" i="0" baseline="0">
              <a:effectLst/>
              <a:latin typeface="+mn-lt"/>
              <a:ea typeface="+mn-ea"/>
              <a:cs typeface="+mn-cs"/>
            </a:rPr>
            <a:t>Charges en € </a:t>
          </a:r>
          <a:r>
            <a:rPr lang="fr-FR" sz="1600" b="1" i="0" baseline="0">
              <a:solidFill>
                <a:srgbClr val="FF0000"/>
              </a:solidFill>
              <a:effectLst/>
              <a:latin typeface="+mn-lt"/>
              <a:ea typeface="+mn-ea"/>
              <a:cs typeface="+mn-cs"/>
            </a:rPr>
            <a:t>par tonne </a:t>
          </a:r>
          <a:r>
            <a:rPr lang="fr-FR" sz="1600" b="1" i="0" baseline="0">
              <a:solidFill>
                <a:schemeClr val="tx1"/>
              </a:solidFill>
              <a:effectLst/>
              <a:latin typeface="+mn-lt"/>
              <a:ea typeface="+mn-ea"/>
              <a:cs typeface="+mn-cs"/>
            </a:rPr>
            <a:t>(rdt moy) </a:t>
          </a:r>
          <a:endParaRPr lang="fr-FR" sz="1600">
            <a:solidFill>
              <a:schemeClr val="tx1"/>
            </a:solidFill>
            <a:effectLst/>
          </a:endParaRPr>
        </a:p>
        <a:p xmlns:a="http://schemas.openxmlformats.org/drawingml/2006/main">
          <a:pPr algn="ctr" rtl="0"/>
          <a:r>
            <a:rPr lang="fr-FR" sz="1400" b="1" i="0" baseline="0">
              <a:effectLst/>
              <a:latin typeface="+mn-lt"/>
              <a:ea typeface="+mn-ea"/>
              <a:cs typeface="+mn-cs"/>
            </a:rPr>
            <a:t>(postes de charge saisis uniquement)</a:t>
          </a:r>
          <a:r>
            <a:rPr lang="fr-FR" sz="1400" b="0" i="0" baseline="0">
              <a:effectLst/>
              <a:latin typeface="+mn-lt"/>
              <a:ea typeface="+mn-ea"/>
              <a:cs typeface="+mn-cs"/>
            </a:rPr>
            <a:t> </a:t>
          </a:r>
          <a:endParaRPr lang="fr-FR" sz="1400">
            <a:effectLst/>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4</xdr:col>
      <xdr:colOff>13607</xdr:colOff>
      <xdr:row>0</xdr:row>
      <xdr:rowOff>121226</xdr:rowOff>
    </xdr:from>
    <xdr:to>
      <xdr:col>22</xdr:col>
      <xdr:colOff>602002</xdr:colOff>
      <xdr:row>9</xdr:row>
      <xdr:rowOff>123265</xdr:rowOff>
    </xdr:to>
    <xdr:sp macro="" textlink="">
      <xdr:nvSpPr>
        <xdr:cNvPr id="76" name="ZoneTexte 75">
          <a:extLst>
            <a:ext uri="{FF2B5EF4-FFF2-40B4-BE49-F238E27FC236}">
              <a16:creationId xmlns:a16="http://schemas.microsoft.com/office/drawing/2014/main" id="{FBE5D82D-324C-4D34-AFCE-9F55C586F45D}"/>
            </a:ext>
          </a:extLst>
        </xdr:cNvPr>
        <xdr:cNvSpPr txBox="1"/>
      </xdr:nvSpPr>
      <xdr:spPr>
        <a:xfrm>
          <a:off x="2041071" y="121226"/>
          <a:ext cx="9370445" cy="1839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600" b="1"/>
            <a:t>                                    ImpactCoutProduction</a:t>
          </a:r>
        </a:p>
        <a:p>
          <a:pPr algn="ctr"/>
          <a:endParaRPr lang="fr-FR" sz="1600" b="1"/>
        </a:p>
        <a:p>
          <a:pPr algn="ctr"/>
          <a:r>
            <a:rPr lang="fr-FR" sz="2600" b="1"/>
            <a:t>Pour vous situer, estimez rapidement les variations de vos charges en fonction de l'évolution du prix des intrants, de l'énergie…</a:t>
          </a:r>
        </a:p>
      </xdr:txBody>
    </xdr:sp>
    <xdr:clientData/>
  </xdr:twoCellAnchor>
  <xdr:twoCellAnchor editAs="oneCell">
    <xdr:from>
      <xdr:col>23</xdr:col>
      <xdr:colOff>518430</xdr:colOff>
      <xdr:row>0</xdr:row>
      <xdr:rowOff>33400</xdr:rowOff>
    </xdr:from>
    <xdr:to>
      <xdr:col>29</xdr:col>
      <xdr:colOff>884465</xdr:colOff>
      <xdr:row>9</xdr:row>
      <xdr:rowOff>163286</xdr:rowOff>
    </xdr:to>
    <xdr:sp macro="" textlink="">
      <xdr:nvSpPr>
        <xdr:cNvPr id="84" name="ZoneTexte 83">
          <a:extLst>
            <a:ext uri="{FF2B5EF4-FFF2-40B4-BE49-F238E27FC236}">
              <a16:creationId xmlns:a16="http://schemas.microsoft.com/office/drawing/2014/main" id="{88C0E001-DA7C-4706-B767-E3C1E7655BD1}"/>
            </a:ext>
          </a:extLst>
        </xdr:cNvPr>
        <xdr:cNvSpPr txBox="1"/>
      </xdr:nvSpPr>
      <xdr:spPr>
        <a:xfrm>
          <a:off x="11499394" y="33400"/>
          <a:ext cx="5033285" cy="1966850"/>
        </a:xfrm>
        <a:prstGeom prst="rect">
          <a:avLst/>
        </a:prstGeom>
        <a:solidFill>
          <a:schemeClr val="lt1"/>
        </a:solidFill>
        <a:ln w="63500" cmpd="thickThin">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i="1">
              <a:solidFill>
                <a:schemeClr val="dk1"/>
              </a:solidFill>
              <a:effectLst/>
              <a:latin typeface="+mn-lt"/>
              <a:ea typeface="+mn-ea"/>
              <a:cs typeface="+mn-cs"/>
            </a:rPr>
            <a:t>ARVALIS - Institut du végétal décline toute responsabilité :</a:t>
          </a:r>
        </a:p>
        <a:p>
          <a:r>
            <a:rPr lang="fr-FR" sz="900" b="1" i="1">
              <a:solidFill>
                <a:schemeClr val="dk1"/>
              </a:solidFill>
              <a:effectLst/>
              <a:latin typeface="+mn-lt"/>
              <a:ea typeface="+mn-ea"/>
              <a:cs typeface="+mn-cs"/>
            </a:rPr>
            <a:t>- pour toute imprécision, inexactitude ou omission portant sur des informations disponibles. </a:t>
          </a:r>
        </a:p>
        <a:p>
          <a:r>
            <a:rPr lang="fr-FR" sz="900" b="1" i="1">
              <a:solidFill>
                <a:schemeClr val="dk1"/>
              </a:solidFill>
              <a:effectLst/>
              <a:latin typeface="+mn-lt"/>
              <a:ea typeface="+mn-ea"/>
              <a:cs typeface="+mn-cs"/>
            </a:rPr>
            <a:t> - pour tout résultat qui pourrait être obtenu par l'usage des informations disponibles.</a:t>
          </a:r>
        </a:p>
        <a:p>
          <a:r>
            <a:rPr lang="fr-FR" sz="900" b="1" i="1">
              <a:solidFill>
                <a:schemeClr val="dk1"/>
              </a:solidFill>
              <a:effectLst/>
              <a:latin typeface="+mn-lt"/>
              <a:ea typeface="+mn-ea"/>
              <a:cs typeface="+mn-cs"/>
            </a:rPr>
            <a:t>- pour tous dommages résultant d'une intrusion frauduleuse d'un tiers, ayant entraîné une modification des informations ou éléments mis à disposition.</a:t>
          </a:r>
        </a:p>
        <a:p>
          <a:r>
            <a:rPr lang="fr-FR" sz="900" b="1" i="1">
              <a:solidFill>
                <a:schemeClr val="dk1"/>
              </a:solidFill>
              <a:effectLst/>
              <a:latin typeface="+mn-lt"/>
              <a:ea typeface="+mn-ea"/>
              <a:cs typeface="+mn-cs"/>
            </a:rPr>
            <a:t>- et plus généralement pour tous dommages, directs ou indirects, quelles qu'en soient les causes, origines, natures ou conséquences, quand bien même ARVALIS - Institut du végétal aurait été avisée de la possibilité de tels dommages, provoqués à raison (i) de l'accès de quiconque aux informations ou de l'impossibilité d'y accéder, (ii) de l'utilisation des informations, incluant toutes détériorations ou virus qui pourraient infecter votre équipement informatique ou tout autre bien, et/ou (iii) du crédit accordé à une quelconque information provenant directement ou indirectement de l’outil</a:t>
          </a:r>
          <a:r>
            <a:rPr lang="fr-FR" sz="900" b="1" i="1" baseline="0">
              <a:solidFill>
                <a:schemeClr val="dk1"/>
              </a:solidFill>
              <a:effectLst/>
              <a:latin typeface="+mn-lt"/>
              <a:ea typeface="+mn-ea"/>
              <a:cs typeface="+mn-cs"/>
            </a:rPr>
            <a:t> "</a:t>
          </a:r>
          <a:r>
            <a:rPr lang="fr-FR" sz="900" b="1" i="1" u="sng">
              <a:solidFill>
                <a:sysClr val="windowText" lastClr="000000"/>
              </a:solidFill>
              <a:effectLst/>
              <a:latin typeface="+mn-lt"/>
              <a:ea typeface="+mn-ea"/>
              <a:cs typeface="+mn-cs"/>
            </a:rPr>
            <a:t>ImpactCoutProduction</a:t>
          </a:r>
          <a:r>
            <a:rPr lang="fr-FR" sz="900" b="1" i="1" u="none">
              <a:solidFill>
                <a:schemeClr val="dk1"/>
              </a:solidFill>
              <a:effectLst/>
              <a:latin typeface="+mn-lt"/>
              <a:ea typeface="+mn-ea"/>
              <a:cs typeface="+mn-cs"/>
            </a:rPr>
            <a:t>"</a:t>
          </a:r>
          <a:r>
            <a:rPr lang="fr-FR" sz="900" b="1" i="1">
              <a:solidFill>
                <a:schemeClr val="dk1"/>
              </a:solidFill>
              <a:effectLst/>
              <a:latin typeface="+mn-lt"/>
              <a:ea typeface="+mn-ea"/>
              <a:cs typeface="+mn-cs"/>
            </a:rPr>
            <a:t>.</a:t>
          </a:r>
        </a:p>
        <a:p>
          <a:r>
            <a:rPr lang="fr-FR" sz="1000" b="1" i="1">
              <a:solidFill>
                <a:schemeClr val="dk1"/>
              </a:solidFill>
              <a:effectLst/>
              <a:latin typeface="+mn-lt"/>
              <a:ea typeface="+mn-ea"/>
              <a:cs typeface="+mn-cs"/>
            </a:rPr>
            <a:t>Pour toute question, veuillez vous référer à l'onglet 'PRISE EN MAIN'</a:t>
          </a:r>
        </a:p>
        <a:p>
          <a:r>
            <a:rPr lang="fr-FR" sz="900" i="1">
              <a:solidFill>
                <a:schemeClr val="dk1"/>
              </a:solidFill>
              <a:effectLst/>
              <a:latin typeface="+mn-lt"/>
              <a:ea typeface="+mn-ea"/>
              <a:cs typeface="+mn-cs"/>
            </a:rPr>
            <a:t> </a:t>
          </a:r>
        </a:p>
        <a:p>
          <a:endParaRPr lang="fr-FR" sz="900" i="1"/>
        </a:p>
      </xdr:txBody>
    </xdr:sp>
    <xdr:clientData/>
  </xdr:twoCellAnchor>
  <xdr:twoCellAnchor>
    <xdr:from>
      <xdr:col>0</xdr:col>
      <xdr:colOff>142875</xdr:colOff>
      <xdr:row>0</xdr:row>
      <xdr:rowOff>142875</xdr:rowOff>
    </xdr:from>
    <xdr:to>
      <xdr:col>12</xdr:col>
      <xdr:colOff>263319</xdr:colOff>
      <xdr:row>4</xdr:row>
      <xdr:rowOff>104633</xdr:rowOff>
    </xdr:to>
    <xdr:grpSp>
      <xdr:nvGrpSpPr>
        <xdr:cNvPr id="2" name="Groupe 1">
          <a:extLst>
            <a:ext uri="{FF2B5EF4-FFF2-40B4-BE49-F238E27FC236}">
              <a16:creationId xmlns:a16="http://schemas.microsoft.com/office/drawing/2014/main" id="{ED8DAA8B-8B56-4AEF-840B-BDDD8E9C2D48}"/>
            </a:ext>
          </a:extLst>
        </xdr:cNvPr>
        <xdr:cNvGrpSpPr/>
      </xdr:nvGrpSpPr>
      <xdr:grpSpPr>
        <a:xfrm>
          <a:off x="142875" y="142875"/>
          <a:ext cx="6130719" cy="761858"/>
          <a:chOff x="428625" y="67353"/>
          <a:chExt cx="6130719" cy="761858"/>
        </a:xfrm>
      </xdr:grpSpPr>
      <xdr:grpSp>
        <xdr:nvGrpSpPr>
          <xdr:cNvPr id="3" name="Groupe 2">
            <a:extLst>
              <a:ext uri="{FF2B5EF4-FFF2-40B4-BE49-F238E27FC236}">
                <a16:creationId xmlns:a16="http://schemas.microsoft.com/office/drawing/2014/main" id="{233E2B84-879C-5DCA-5368-6A4C80F38126}"/>
              </a:ext>
            </a:extLst>
          </xdr:cNvPr>
          <xdr:cNvGrpSpPr/>
        </xdr:nvGrpSpPr>
        <xdr:grpSpPr>
          <a:xfrm>
            <a:off x="2678201" y="67353"/>
            <a:ext cx="3881143" cy="761858"/>
            <a:chOff x="1726825" y="67929"/>
            <a:chExt cx="3883670" cy="768372"/>
          </a:xfrm>
        </xdr:grpSpPr>
        <xdr:pic>
          <xdr:nvPicPr>
            <xdr:cNvPr id="5" name="Image 4">
              <a:extLst>
                <a:ext uri="{FF2B5EF4-FFF2-40B4-BE49-F238E27FC236}">
                  <a16:creationId xmlns:a16="http://schemas.microsoft.com/office/drawing/2014/main" id="{FFB50A23-1D20-7781-1163-DC3F4110A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8869" y="99862"/>
              <a:ext cx="436789" cy="716240"/>
            </a:xfrm>
            <a:prstGeom prst="rect">
              <a:avLst/>
            </a:prstGeom>
          </xdr:spPr>
        </xdr:pic>
        <xdr:grpSp>
          <xdr:nvGrpSpPr>
            <xdr:cNvPr id="6" name="Groupe 5">
              <a:extLst>
                <a:ext uri="{FF2B5EF4-FFF2-40B4-BE49-F238E27FC236}">
                  <a16:creationId xmlns:a16="http://schemas.microsoft.com/office/drawing/2014/main" id="{E41D4B44-EE30-0F29-7792-C2596CEA625E}"/>
                </a:ext>
              </a:extLst>
            </xdr:cNvPr>
            <xdr:cNvGrpSpPr/>
          </xdr:nvGrpSpPr>
          <xdr:grpSpPr>
            <a:xfrm>
              <a:off x="1726825" y="67929"/>
              <a:ext cx="3883670" cy="768372"/>
              <a:chOff x="1804092" y="201706"/>
              <a:chExt cx="3870949" cy="773206"/>
            </a:xfrm>
          </xdr:grpSpPr>
          <xdr:pic>
            <xdr:nvPicPr>
              <xdr:cNvPr id="7" name="Image 6">
                <a:extLst>
                  <a:ext uri="{FF2B5EF4-FFF2-40B4-BE49-F238E27FC236}">
                    <a16:creationId xmlns:a16="http://schemas.microsoft.com/office/drawing/2014/main" id="{7EAC51B7-A687-DCC3-AD9A-22E3459AC6BE}"/>
                  </a:ext>
                </a:extLst>
              </xdr:cNvPr>
              <xdr:cNvPicPr>
                <a:picLocks noChangeAspect="1"/>
              </xdr:cNvPicPr>
            </xdr:nvPicPr>
            <xdr:blipFill>
              <a:blip xmlns:r="http://schemas.openxmlformats.org/officeDocument/2006/relationships" r:embed="rId2"/>
              <a:stretch>
                <a:fillRect/>
              </a:stretch>
            </xdr:blipFill>
            <xdr:spPr>
              <a:xfrm>
                <a:off x="3779562" y="201706"/>
                <a:ext cx="749851" cy="773206"/>
              </a:xfrm>
              <a:prstGeom prst="rect">
                <a:avLst/>
              </a:prstGeom>
            </xdr:spPr>
          </xdr:pic>
          <xdr:pic>
            <xdr:nvPicPr>
              <xdr:cNvPr id="8" name="Image 7">
                <a:extLst>
                  <a:ext uri="{FF2B5EF4-FFF2-40B4-BE49-F238E27FC236}">
                    <a16:creationId xmlns:a16="http://schemas.microsoft.com/office/drawing/2014/main" id="{F47A1FB3-E2FE-692A-F16E-A0D5EFF3745B}"/>
                  </a:ext>
                </a:extLst>
              </xdr:cNvPr>
              <xdr:cNvPicPr>
                <a:picLocks noChangeAspect="1"/>
              </xdr:cNvPicPr>
            </xdr:nvPicPr>
            <xdr:blipFill>
              <a:blip xmlns:r="http://schemas.openxmlformats.org/officeDocument/2006/relationships" r:embed="rId3"/>
              <a:stretch>
                <a:fillRect/>
              </a:stretch>
            </xdr:blipFill>
            <xdr:spPr>
              <a:xfrm>
                <a:off x="5178994" y="268939"/>
                <a:ext cx="496047" cy="651443"/>
              </a:xfrm>
              <a:prstGeom prst="rect">
                <a:avLst/>
              </a:prstGeom>
            </xdr:spPr>
          </xdr:pic>
          <xdr:sp macro="" textlink="">
            <xdr:nvSpPr>
              <xdr:cNvPr id="9" name="ZoneTexte 8">
                <a:extLst>
                  <a:ext uri="{FF2B5EF4-FFF2-40B4-BE49-F238E27FC236}">
                    <a16:creationId xmlns:a16="http://schemas.microsoft.com/office/drawing/2014/main" id="{1AFD747E-E05D-37DA-53E7-91989FC24860}"/>
                  </a:ext>
                </a:extLst>
              </xdr:cNvPr>
              <xdr:cNvSpPr txBox="1"/>
            </xdr:nvSpPr>
            <xdr:spPr>
              <a:xfrm>
                <a:off x="1804092" y="438150"/>
                <a:ext cx="2072552"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t>Avec la collaboration de</a:t>
                </a:r>
                <a:r>
                  <a:rPr lang="fr-FR" sz="1400" b="1" baseline="0"/>
                  <a:t> :</a:t>
                </a:r>
                <a:endParaRPr lang="fr-FR" sz="1400" b="1"/>
              </a:p>
            </xdr:txBody>
          </xdr:sp>
        </xdr:grpSp>
      </xdr:grpSp>
      <xdr:pic>
        <xdr:nvPicPr>
          <xdr:cNvPr id="4" name="Image 3">
            <a:extLst>
              <a:ext uri="{FF2B5EF4-FFF2-40B4-BE49-F238E27FC236}">
                <a16:creationId xmlns:a16="http://schemas.microsoft.com/office/drawing/2014/main" id="{7E33DD63-2A40-C8A8-1F78-D3802CDA21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8625" y="266700"/>
            <a:ext cx="2266950" cy="432892"/>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217217</xdr:colOff>
      <xdr:row>16</xdr:row>
      <xdr:rowOff>70986</xdr:rowOff>
    </xdr:from>
    <xdr:to>
      <xdr:col>48</xdr:col>
      <xdr:colOff>19288</xdr:colOff>
      <xdr:row>35</xdr:row>
      <xdr:rowOff>27871</xdr:rowOff>
    </xdr:to>
    <xdr:grpSp>
      <xdr:nvGrpSpPr>
        <xdr:cNvPr id="2" name="Groupe 1">
          <a:extLst>
            <a:ext uri="{FF2B5EF4-FFF2-40B4-BE49-F238E27FC236}">
              <a16:creationId xmlns:a16="http://schemas.microsoft.com/office/drawing/2014/main" id="{09160297-69E1-439B-97C5-25C9B12B8DD3}"/>
            </a:ext>
          </a:extLst>
        </xdr:cNvPr>
        <xdr:cNvGrpSpPr/>
      </xdr:nvGrpSpPr>
      <xdr:grpSpPr>
        <a:xfrm>
          <a:off x="217217" y="3700011"/>
          <a:ext cx="13518071" cy="3604960"/>
          <a:chOff x="13694967" y="3315490"/>
          <a:chExt cx="13158163" cy="3713729"/>
        </a:xfrm>
      </xdr:grpSpPr>
      <xdr:graphicFrame macro="">
        <xdr:nvGraphicFramePr>
          <xdr:cNvPr id="3" name="Graphique 2">
            <a:extLst>
              <a:ext uri="{FF2B5EF4-FFF2-40B4-BE49-F238E27FC236}">
                <a16:creationId xmlns:a16="http://schemas.microsoft.com/office/drawing/2014/main" id="{FB69E342-0738-4147-A188-1EF099621B1B}"/>
              </a:ext>
            </a:extLst>
          </xdr:cNvPr>
          <xdr:cNvGraphicFramePr>
            <a:graphicFrameLocks/>
          </xdr:cNvGraphicFramePr>
        </xdr:nvGraphicFramePr>
        <xdr:xfrm>
          <a:off x="13694967" y="3332492"/>
          <a:ext cx="4343706" cy="367705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a:extLst>
              <a:ext uri="{FF2B5EF4-FFF2-40B4-BE49-F238E27FC236}">
                <a16:creationId xmlns:a16="http://schemas.microsoft.com/office/drawing/2014/main" id="{96145822-0B69-46DA-B798-0D2213707605}"/>
              </a:ext>
            </a:extLst>
          </xdr:cNvPr>
          <xdr:cNvGraphicFramePr>
            <a:graphicFrameLocks/>
          </xdr:cNvGraphicFramePr>
        </xdr:nvGraphicFramePr>
        <xdr:xfrm>
          <a:off x="18087971" y="3315490"/>
          <a:ext cx="4367316" cy="3713729"/>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phique 4">
            <a:extLst>
              <a:ext uri="{FF2B5EF4-FFF2-40B4-BE49-F238E27FC236}">
                <a16:creationId xmlns:a16="http://schemas.microsoft.com/office/drawing/2014/main" id="{F79A9D97-8FFC-4392-BBE5-56C3EC3EFFA8}"/>
              </a:ext>
            </a:extLst>
          </xdr:cNvPr>
          <xdr:cNvGraphicFramePr>
            <a:graphicFrameLocks/>
          </xdr:cNvGraphicFramePr>
        </xdr:nvGraphicFramePr>
        <xdr:xfrm>
          <a:off x="22505249" y="3324436"/>
          <a:ext cx="4347881" cy="367281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0</xdr:col>
      <xdr:colOff>0</xdr:colOff>
      <xdr:row>4</xdr:row>
      <xdr:rowOff>94012</xdr:rowOff>
    </xdr:from>
    <xdr:to>
      <xdr:col>33</xdr:col>
      <xdr:colOff>268164</xdr:colOff>
      <xdr:row>13</xdr:row>
      <xdr:rowOff>96051</xdr:rowOff>
    </xdr:to>
    <xdr:sp macro="" textlink="">
      <xdr:nvSpPr>
        <xdr:cNvPr id="76" name="ZoneTexte 75">
          <a:extLst>
            <a:ext uri="{FF2B5EF4-FFF2-40B4-BE49-F238E27FC236}">
              <a16:creationId xmlns:a16="http://schemas.microsoft.com/office/drawing/2014/main" id="{260076EF-E537-4E43-BF9A-75D8EDC82108}"/>
            </a:ext>
          </a:extLst>
        </xdr:cNvPr>
        <xdr:cNvSpPr txBox="1"/>
      </xdr:nvSpPr>
      <xdr:spPr>
        <a:xfrm>
          <a:off x="0" y="910441"/>
          <a:ext cx="9697914" cy="1839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600" b="1"/>
            <a:t>ImpactCoutProduction</a:t>
          </a:r>
        </a:p>
        <a:p>
          <a:pPr algn="ctr"/>
          <a:endParaRPr lang="fr-FR" sz="1600" b="1"/>
        </a:p>
        <a:p>
          <a:pPr algn="ctr"/>
          <a:r>
            <a:rPr lang="fr-FR" sz="2600" b="1"/>
            <a:t>Pour vous situer, estimez rapidement les variations de vos charges en fonction de l'évolution du prix des intrants, de l'énergie…</a:t>
          </a:r>
        </a:p>
      </xdr:txBody>
    </xdr:sp>
    <xdr:clientData/>
  </xdr:twoCellAnchor>
  <xdr:twoCellAnchor editAs="oneCell">
    <xdr:from>
      <xdr:col>33</xdr:col>
      <xdr:colOff>109470</xdr:colOff>
      <xdr:row>0</xdr:row>
      <xdr:rowOff>38100</xdr:rowOff>
    </xdr:from>
    <xdr:to>
      <xdr:col>47</xdr:col>
      <xdr:colOff>231321</xdr:colOff>
      <xdr:row>12</xdr:row>
      <xdr:rowOff>119743</xdr:rowOff>
    </xdr:to>
    <xdr:sp macro="" textlink="">
      <xdr:nvSpPr>
        <xdr:cNvPr id="84" name="ZoneTexte 83">
          <a:extLst>
            <a:ext uri="{FF2B5EF4-FFF2-40B4-BE49-F238E27FC236}">
              <a16:creationId xmlns:a16="http://schemas.microsoft.com/office/drawing/2014/main" id="{7C0E4052-9460-4BFA-AF37-33C4A2638E48}"/>
            </a:ext>
          </a:extLst>
        </xdr:cNvPr>
        <xdr:cNvSpPr txBox="1"/>
      </xdr:nvSpPr>
      <xdr:spPr>
        <a:xfrm>
          <a:off x="9539220" y="38100"/>
          <a:ext cx="4122351" cy="2481943"/>
        </a:xfrm>
        <a:prstGeom prst="rect">
          <a:avLst/>
        </a:prstGeom>
        <a:solidFill>
          <a:schemeClr val="lt1"/>
        </a:solidFill>
        <a:ln w="63500" cmpd="thickThin">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i="1">
              <a:solidFill>
                <a:schemeClr val="dk1"/>
              </a:solidFill>
              <a:effectLst/>
              <a:latin typeface="+mn-lt"/>
              <a:ea typeface="+mn-ea"/>
              <a:cs typeface="+mn-cs"/>
            </a:rPr>
            <a:t>ARVALIS - Institut du végétal décline toute responsabilité :</a:t>
          </a:r>
        </a:p>
        <a:p>
          <a:r>
            <a:rPr lang="fr-FR" sz="900" b="1" i="1">
              <a:solidFill>
                <a:schemeClr val="dk1"/>
              </a:solidFill>
              <a:effectLst/>
              <a:latin typeface="+mn-lt"/>
              <a:ea typeface="+mn-ea"/>
              <a:cs typeface="+mn-cs"/>
            </a:rPr>
            <a:t>- pour toute imprécision, inexactitude ou omission portant sur des informations disponibles. </a:t>
          </a:r>
        </a:p>
        <a:p>
          <a:r>
            <a:rPr lang="fr-FR" sz="900" b="1" i="1">
              <a:solidFill>
                <a:schemeClr val="dk1"/>
              </a:solidFill>
              <a:effectLst/>
              <a:latin typeface="+mn-lt"/>
              <a:ea typeface="+mn-ea"/>
              <a:cs typeface="+mn-cs"/>
            </a:rPr>
            <a:t> - pour tout résultat qui pourrait être obtenu par l'usage des informations disponibles.</a:t>
          </a:r>
        </a:p>
        <a:p>
          <a:r>
            <a:rPr lang="fr-FR" sz="900" b="1" i="1">
              <a:solidFill>
                <a:schemeClr val="dk1"/>
              </a:solidFill>
              <a:effectLst/>
              <a:latin typeface="+mn-lt"/>
              <a:ea typeface="+mn-ea"/>
              <a:cs typeface="+mn-cs"/>
            </a:rPr>
            <a:t>- pour tous dommages résultant d'une intrusion frauduleuse d'un tiers, ayant entraîné une modification des informations ou éléments mis à disposition.</a:t>
          </a:r>
        </a:p>
        <a:p>
          <a:r>
            <a:rPr lang="fr-FR" sz="900" b="1" i="1">
              <a:solidFill>
                <a:schemeClr val="dk1"/>
              </a:solidFill>
              <a:effectLst/>
              <a:latin typeface="+mn-lt"/>
              <a:ea typeface="+mn-ea"/>
              <a:cs typeface="+mn-cs"/>
            </a:rPr>
            <a:t>- et plus généralement pour tous dommages, directs ou indirects, quelles qu'en soient les causes, origines, natures ou conséquences, quand bien même ARVALIS - Institut du végétal aurait été avisée de la possibilité de tels dommages, provoqués à raison (i) de l'accès de quiconque aux informations ou de l'impossibilité d'y accéder, (ii) de l'utilisation des informations, incluant toutes détériorations ou virus qui pourraient infecter votre équipement informatique ou tout autre bien, et/ou (iii) du crédit accordé à une quelconque information provenant directement ou indirectement de l’outil</a:t>
          </a:r>
          <a:r>
            <a:rPr lang="fr-FR" sz="900" b="1" i="1" baseline="0">
              <a:solidFill>
                <a:schemeClr val="dk1"/>
              </a:solidFill>
              <a:effectLst/>
              <a:latin typeface="+mn-lt"/>
              <a:ea typeface="+mn-ea"/>
              <a:cs typeface="+mn-cs"/>
            </a:rPr>
            <a:t> "</a:t>
          </a:r>
          <a:r>
            <a:rPr lang="fr-FR" sz="900" b="1" i="1" u="sng">
              <a:solidFill>
                <a:sysClr val="windowText" lastClr="000000"/>
              </a:solidFill>
              <a:effectLst/>
              <a:latin typeface="+mn-lt"/>
              <a:ea typeface="+mn-ea"/>
              <a:cs typeface="+mn-cs"/>
            </a:rPr>
            <a:t>ImpactCoutProduction</a:t>
          </a:r>
          <a:r>
            <a:rPr lang="fr-FR" sz="900" b="1" i="1" u="none">
              <a:solidFill>
                <a:schemeClr val="dk1"/>
              </a:solidFill>
              <a:effectLst/>
              <a:latin typeface="+mn-lt"/>
              <a:ea typeface="+mn-ea"/>
              <a:cs typeface="+mn-cs"/>
            </a:rPr>
            <a:t>"</a:t>
          </a:r>
          <a:r>
            <a:rPr lang="fr-FR" sz="900" b="1" i="1">
              <a:solidFill>
                <a:schemeClr val="dk1"/>
              </a:solidFill>
              <a:effectLst/>
              <a:latin typeface="+mn-lt"/>
              <a:ea typeface="+mn-ea"/>
              <a:cs typeface="+mn-cs"/>
            </a:rPr>
            <a:t>.</a:t>
          </a:r>
        </a:p>
        <a:p>
          <a:r>
            <a:rPr lang="fr-FR" sz="1000" b="1" i="1">
              <a:solidFill>
                <a:schemeClr val="dk1"/>
              </a:solidFill>
              <a:effectLst/>
              <a:latin typeface="+mn-lt"/>
              <a:ea typeface="+mn-ea"/>
              <a:cs typeface="+mn-cs"/>
            </a:rPr>
            <a:t>Pour toute question, veuillez vous référer à l'onglet 'PRISE EN MAIN'</a:t>
          </a:r>
        </a:p>
        <a:p>
          <a:r>
            <a:rPr lang="fr-FR" sz="900" i="1">
              <a:solidFill>
                <a:schemeClr val="dk1"/>
              </a:solidFill>
              <a:effectLst/>
              <a:latin typeface="+mn-lt"/>
              <a:ea typeface="+mn-ea"/>
              <a:cs typeface="+mn-cs"/>
            </a:rPr>
            <a:t> </a:t>
          </a:r>
        </a:p>
        <a:p>
          <a:endParaRPr lang="fr-FR" sz="900" i="1"/>
        </a:p>
      </xdr:txBody>
    </xdr:sp>
    <xdr:clientData/>
  </xdr:twoCellAnchor>
  <xdr:twoCellAnchor>
    <xdr:from>
      <xdr:col>6</xdr:col>
      <xdr:colOff>76200</xdr:colOff>
      <xdr:row>0</xdr:row>
      <xdr:rowOff>142875</xdr:rowOff>
    </xdr:from>
    <xdr:to>
      <xdr:col>27</xdr:col>
      <xdr:colOff>206169</xdr:colOff>
      <xdr:row>4</xdr:row>
      <xdr:rowOff>104633</xdr:rowOff>
    </xdr:to>
    <xdr:grpSp>
      <xdr:nvGrpSpPr>
        <xdr:cNvPr id="6" name="Groupe 5">
          <a:extLst>
            <a:ext uri="{FF2B5EF4-FFF2-40B4-BE49-F238E27FC236}">
              <a16:creationId xmlns:a16="http://schemas.microsoft.com/office/drawing/2014/main" id="{4E6CE7B5-80BA-454A-9F7C-A245A270FC74}"/>
            </a:ext>
          </a:extLst>
        </xdr:cNvPr>
        <xdr:cNvGrpSpPr/>
      </xdr:nvGrpSpPr>
      <xdr:grpSpPr>
        <a:xfrm>
          <a:off x="1790700" y="142875"/>
          <a:ext cx="6130719" cy="761858"/>
          <a:chOff x="428625" y="67353"/>
          <a:chExt cx="6130719" cy="761858"/>
        </a:xfrm>
      </xdr:grpSpPr>
      <xdr:grpSp>
        <xdr:nvGrpSpPr>
          <xdr:cNvPr id="7" name="Groupe 6">
            <a:extLst>
              <a:ext uri="{FF2B5EF4-FFF2-40B4-BE49-F238E27FC236}">
                <a16:creationId xmlns:a16="http://schemas.microsoft.com/office/drawing/2014/main" id="{6CAA46C7-65A9-267E-26AE-4EE00F60E09E}"/>
              </a:ext>
            </a:extLst>
          </xdr:cNvPr>
          <xdr:cNvGrpSpPr/>
        </xdr:nvGrpSpPr>
        <xdr:grpSpPr>
          <a:xfrm>
            <a:off x="2678201" y="67353"/>
            <a:ext cx="3881143" cy="761858"/>
            <a:chOff x="1726825" y="67929"/>
            <a:chExt cx="3883670" cy="768372"/>
          </a:xfrm>
        </xdr:grpSpPr>
        <xdr:pic>
          <xdr:nvPicPr>
            <xdr:cNvPr id="9" name="Image 8">
              <a:extLst>
                <a:ext uri="{FF2B5EF4-FFF2-40B4-BE49-F238E27FC236}">
                  <a16:creationId xmlns:a16="http://schemas.microsoft.com/office/drawing/2014/main" id="{494943B4-A995-CC5B-81C2-A8BF2B2459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8869" y="99862"/>
              <a:ext cx="436789" cy="716240"/>
            </a:xfrm>
            <a:prstGeom prst="rect">
              <a:avLst/>
            </a:prstGeom>
          </xdr:spPr>
        </xdr:pic>
        <xdr:grpSp>
          <xdr:nvGrpSpPr>
            <xdr:cNvPr id="10" name="Groupe 9">
              <a:extLst>
                <a:ext uri="{FF2B5EF4-FFF2-40B4-BE49-F238E27FC236}">
                  <a16:creationId xmlns:a16="http://schemas.microsoft.com/office/drawing/2014/main" id="{83A9E83D-2AA3-9FBD-9212-EEA0933B5202}"/>
                </a:ext>
              </a:extLst>
            </xdr:cNvPr>
            <xdr:cNvGrpSpPr/>
          </xdr:nvGrpSpPr>
          <xdr:grpSpPr>
            <a:xfrm>
              <a:off x="1726825" y="67929"/>
              <a:ext cx="3883670" cy="768372"/>
              <a:chOff x="1804092" y="201706"/>
              <a:chExt cx="3870949" cy="773206"/>
            </a:xfrm>
          </xdr:grpSpPr>
          <xdr:pic>
            <xdr:nvPicPr>
              <xdr:cNvPr id="11" name="Image 10">
                <a:extLst>
                  <a:ext uri="{FF2B5EF4-FFF2-40B4-BE49-F238E27FC236}">
                    <a16:creationId xmlns:a16="http://schemas.microsoft.com/office/drawing/2014/main" id="{BDBC5EB2-C8C3-6055-BAD1-3B7CD1CE1949}"/>
                  </a:ext>
                </a:extLst>
              </xdr:cNvPr>
              <xdr:cNvPicPr>
                <a:picLocks noChangeAspect="1"/>
              </xdr:cNvPicPr>
            </xdr:nvPicPr>
            <xdr:blipFill>
              <a:blip xmlns:r="http://schemas.openxmlformats.org/officeDocument/2006/relationships" r:embed="rId5"/>
              <a:stretch>
                <a:fillRect/>
              </a:stretch>
            </xdr:blipFill>
            <xdr:spPr>
              <a:xfrm>
                <a:off x="3779562" y="201706"/>
                <a:ext cx="749851" cy="773206"/>
              </a:xfrm>
              <a:prstGeom prst="rect">
                <a:avLst/>
              </a:prstGeom>
            </xdr:spPr>
          </xdr:pic>
          <xdr:pic>
            <xdr:nvPicPr>
              <xdr:cNvPr id="12" name="Image 11">
                <a:extLst>
                  <a:ext uri="{FF2B5EF4-FFF2-40B4-BE49-F238E27FC236}">
                    <a16:creationId xmlns:a16="http://schemas.microsoft.com/office/drawing/2014/main" id="{014E3145-FC43-17FA-68BB-07001260BC89}"/>
                  </a:ext>
                </a:extLst>
              </xdr:cNvPr>
              <xdr:cNvPicPr>
                <a:picLocks noChangeAspect="1"/>
              </xdr:cNvPicPr>
            </xdr:nvPicPr>
            <xdr:blipFill>
              <a:blip xmlns:r="http://schemas.openxmlformats.org/officeDocument/2006/relationships" r:embed="rId6"/>
              <a:stretch>
                <a:fillRect/>
              </a:stretch>
            </xdr:blipFill>
            <xdr:spPr>
              <a:xfrm>
                <a:off x="5178994" y="268939"/>
                <a:ext cx="496047" cy="651443"/>
              </a:xfrm>
              <a:prstGeom prst="rect">
                <a:avLst/>
              </a:prstGeom>
            </xdr:spPr>
          </xdr:pic>
          <xdr:sp macro="" textlink="">
            <xdr:nvSpPr>
              <xdr:cNvPr id="13" name="ZoneTexte 12">
                <a:extLst>
                  <a:ext uri="{FF2B5EF4-FFF2-40B4-BE49-F238E27FC236}">
                    <a16:creationId xmlns:a16="http://schemas.microsoft.com/office/drawing/2014/main" id="{9DF70082-98B4-0541-A2C1-B09B789E4C99}"/>
                  </a:ext>
                </a:extLst>
              </xdr:cNvPr>
              <xdr:cNvSpPr txBox="1"/>
            </xdr:nvSpPr>
            <xdr:spPr>
              <a:xfrm>
                <a:off x="1804092" y="438150"/>
                <a:ext cx="2072552"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t>Avec la collaboration de</a:t>
                </a:r>
                <a:r>
                  <a:rPr lang="fr-FR" sz="1400" b="1" baseline="0"/>
                  <a:t> :</a:t>
                </a:r>
                <a:endParaRPr lang="fr-FR" sz="1400" b="1"/>
              </a:p>
            </xdr:txBody>
          </xdr:sp>
        </xdr:grpSp>
      </xdr:grpSp>
      <xdr:pic>
        <xdr:nvPicPr>
          <xdr:cNvPr id="8" name="Image 7">
            <a:extLst>
              <a:ext uri="{FF2B5EF4-FFF2-40B4-BE49-F238E27FC236}">
                <a16:creationId xmlns:a16="http://schemas.microsoft.com/office/drawing/2014/main" id="{14CA4D06-CCC3-2F21-DE8D-E9AB8FC58F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8625" y="266700"/>
            <a:ext cx="2266950" cy="432892"/>
          </a:xfrm>
          <a:prstGeom prst="rect">
            <a:avLst/>
          </a:prstGeom>
        </xdr:spPr>
      </xdr:pic>
    </xdr:grpSp>
    <xdr:clientData/>
  </xdr:twoCellAnchor>
</xdr:wsDr>
</file>

<file path=xl/drawings/drawing13.xml><?xml version="1.0" encoding="utf-8"?>
<c:userShapes xmlns:c="http://schemas.openxmlformats.org/drawingml/2006/chart">
  <cdr:relSizeAnchor xmlns:cdr="http://schemas.openxmlformats.org/drawingml/2006/chartDrawing">
    <cdr:from>
      <cdr:x>0.1978</cdr:x>
      <cdr:y>0.92102</cdr:y>
    </cdr:from>
    <cdr:to>
      <cdr:x>0.89246</cdr:x>
      <cdr:y>0.99202</cdr:y>
    </cdr:to>
    <cdr:grpSp>
      <cdr:nvGrpSpPr>
        <cdr:cNvPr id="12" name="Groupe 11">
          <a:extLst xmlns:a="http://schemas.openxmlformats.org/drawingml/2006/main">
            <a:ext uri="{FF2B5EF4-FFF2-40B4-BE49-F238E27FC236}">
              <a16:creationId xmlns:a16="http://schemas.microsoft.com/office/drawing/2014/main" id="{9202F95D-86EF-47AA-9BD4-1324DEEF63C7}"/>
            </a:ext>
          </a:extLst>
        </cdr:cNvPr>
        <cdr:cNvGrpSpPr/>
      </cdr:nvGrpSpPr>
      <cdr:grpSpPr>
        <a:xfrm xmlns:a="http://schemas.openxmlformats.org/drawingml/2006/main">
          <a:off x="882686" y="3287456"/>
          <a:ext cx="3099932" cy="253424"/>
          <a:chOff x="3326067" y="765804"/>
          <a:chExt cx="4259913" cy="373318"/>
        </a:xfrm>
      </cdr:grpSpPr>
      <cdr:sp macro="" textlink="">
        <cdr:nvSpPr>
          <cdr:cNvPr id="8" name="Rectangle 7">
            <a:extLst xmlns:a="http://schemas.openxmlformats.org/drawingml/2006/main">
              <a:ext uri="{FF2B5EF4-FFF2-40B4-BE49-F238E27FC236}">
                <a16:creationId xmlns:a16="http://schemas.microsoft.com/office/drawing/2014/main" id="{BA83932F-8A1E-42B8-B155-F437C33111D5}"/>
              </a:ext>
            </a:extLst>
          </cdr:cNvPr>
          <cdr:cNvSpPr/>
        </cdr:nvSpPr>
        <cdr:spPr>
          <a:xfrm xmlns:a="http://schemas.openxmlformats.org/drawingml/2006/main">
            <a:off x="3326067" y="765804"/>
            <a:ext cx="3950700" cy="293246"/>
          </a:xfrm>
          <a:prstGeom xmlns:a="http://schemas.openxmlformats.org/drawingml/2006/main" prst="rect">
            <a:avLst/>
          </a:prstGeom>
          <a:solidFill xmlns:a="http://schemas.openxmlformats.org/drawingml/2006/main">
            <a:schemeClr val="bg1"/>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grpSp>
        <cdr:nvGrpSpPr>
          <cdr:cNvPr id="10" name="Groupe 9">
            <a:extLst xmlns:a="http://schemas.openxmlformats.org/drawingml/2006/main">
              <a:ext uri="{FF2B5EF4-FFF2-40B4-BE49-F238E27FC236}">
                <a16:creationId xmlns:a16="http://schemas.microsoft.com/office/drawing/2014/main" id="{0DFE5D89-92A1-4184-A990-968658C1E1F0}"/>
              </a:ext>
            </a:extLst>
          </cdr:cNvPr>
          <cdr:cNvGrpSpPr/>
        </cdr:nvGrpSpPr>
        <cdr:grpSpPr>
          <a:xfrm xmlns:a="http://schemas.openxmlformats.org/drawingml/2006/main">
            <a:off x="3485977" y="772156"/>
            <a:ext cx="4100003" cy="366966"/>
            <a:chOff x="3484534" y="771028"/>
            <a:chExt cx="4098294" cy="366438"/>
          </a:xfrm>
        </cdr:grpSpPr>
        <cdr:sp macro="" textlink="">
          <cdr:nvSpPr>
            <cdr:cNvPr id="4" name="Rectangle 3">
              <a:extLst xmlns:a="http://schemas.openxmlformats.org/drawingml/2006/main">
                <a:ext uri="{FF2B5EF4-FFF2-40B4-BE49-F238E27FC236}">
                  <a16:creationId xmlns:a16="http://schemas.microsoft.com/office/drawing/2014/main" id="{43F70220-2FE3-4BDA-A916-07A5DAD9F12C}"/>
                </a:ext>
              </a:extLst>
            </cdr:cNvPr>
            <cdr:cNvSpPr/>
          </cdr:nvSpPr>
          <cdr:spPr>
            <a:xfrm xmlns:a="http://schemas.openxmlformats.org/drawingml/2006/main">
              <a:off x="3484534" y="824660"/>
              <a:ext cx="156981" cy="156956"/>
            </a:xfrm>
            <a:prstGeom xmlns:a="http://schemas.openxmlformats.org/drawingml/2006/main" prst="rect">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grpSp>
          <cdr:nvGrpSpPr>
            <cdr:cNvPr id="9" name="Groupe 8">
              <a:extLst xmlns:a="http://schemas.openxmlformats.org/drawingml/2006/main">
                <a:ext uri="{FF2B5EF4-FFF2-40B4-BE49-F238E27FC236}">
                  <a16:creationId xmlns:a16="http://schemas.microsoft.com/office/drawing/2014/main" id="{8004BF36-24B2-45FF-B894-A166B8B8F9B5}"/>
                </a:ext>
              </a:extLst>
            </cdr:cNvPr>
            <cdr:cNvGrpSpPr/>
          </cdr:nvGrpSpPr>
          <cdr:grpSpPr>
            <a:xfrm xmlns:a="http://schemas.openxmlformats.org/drawingml/2006/main">
              <a:off x="3675062" y="771028"/>
              <a:ext cx="3907766" cy="366438"/>
              <a:chOff x="3675058" y="771028"/>
              <a:chExt cx="3907769" cy="366438"/>
            </a:xfrm>
          </cdr:grpSpPr>
          <cdr:sp macro="" textlink="">
            <cdr:nvSpPr>
              <cdr:cNvPr id="7" name="ZoneTexte 6">
                <a:extLst xmlns:a="http://schemas.openxmlformats.org/drawingml/2006/main">
                  <a:ext uri="{FF2B5EF4-FFF2-40B4-BE49-F238E27FC236}">
                    <a16:creationId xmlns:a16="http://schemas.microsoft.com/office/drawing/2014/main" id="{CA620BB2-730E-4B67-B7B0-C4D7EE866A12}"/>
                  </a:ext>
                </a:extLst>
              </cdr:cNvPr>
              <cdr:cNvSpPr txBox="1"/>
            </cdr:nvSpPr>
            <cdr:spPr>
              <a:xfrm xmlns:a="http://schemas.openxmlformats.org/drawingml/2006/main">
                <a:off x="3675058" y="771028"/>
                <a:ext cx="3907769" cy="36643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fr-FR" sz="1200"/>
                  <a:t>Rdt moyen          Rdt min          Rdt max</a:t>
                </a:r>
              </a:p>
            </cdr:txBody>
          </cdr:sp>
          <cdr:sp macro="" textlink="">
            <cdr:nvSpPr>
              <cdr:cNvPr id="5" name="Rectangle 4">
                <a:extLst xmlns:a="http://schemas.openxmlformats.org/drawingml/2006/main">
                  <a:ext uri="{FF2B5EF4-FFF2-40B4-BE49-F238E27FC236}">
                    <a16:creationId xmlns:a16="http://schemas.microsoft.com/office/drawing/2014/main" id="{9A327DE7-14B1-428B-9561-A2BC553B97EB}"/>
                  </a:ext>
                </a:extLst>
              </cdr:cNvPr>
              <cdr:cNvSpPr/>
            </cdr:nvSpPr>
            <cdr:spPr>
              <a:xfrm xmlns:a="http://schemas.openxmlformats.org/drawingml/2006/main">
                <a:off x="4879562" y="824659"/>
                <a:ext cx="156981" cy="156957"/>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sp macro="" textlink="">
            <cdr:nvSpPr>
              <cdr:cNvPr id="6" name="Ellipse 5">
                <a:extLst xmlns:a="http://schemas.openxmlformats.org/drawingml/2006/main">
                  <a:ext uri="{FF2B5EF4-FFF2-40B4-BE49-F238E27FC236}">
                    <a16:creationId xmlns:a16="http://schemas.microsoft.com/office/drawing/2014/main" id="{3CEC78F2-141E-45FD-B0FB-1005ABE00B33}"/>
                  </a:ext>
                </a:extLst>
              </cdr:cNvPr>
              <cdr:cNvSpPr/>
            </cdr:nvSpPr>
            <cdr:spPr>
              <a:xfrm xmlns:a="http://schemas.openxmlformats.org/drawingml/2006/main">
                <a:off x="6036061" y="829403"/>
                <a:ext cx="157133" cy="157134"/>
              </a:xfrm>
              <a:prstGeom xmlns:a="http://schemas.openxmlformats.org/drawingml/2006/main" prst="ellipse">
                <a:avLst/>
              </a:prstGeom>
              <a:solidFill xmlns:a="http://schemas.openxmlformats.org/drawingml/2006/main">
                <a:srgbClr val="92D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grpSp>
      </cdr:grpSp>
    </cdr:grpSp>
  </cdr:relSizeAnchor>
</c:userShapes>
</file>

<file path=xl/drawings/drawing14.xml><?xml version="1.0" encoding="utf-8"?>
<c:userShapes xmlns:c="http://schemas.openxmlformats.org/drawingml/2006/chart">
  <cdr:relSizeAnchor xmlns:cdr="http://schemas.openxmlformats.org/drawingml/2006/chartDrawing">
    <cdr:from>
      <cdr:x>0.01026</cdr:x>
      <cdr:y>0.06094</cdr:y>
    </cdr:from>
    <cdr:to>
      <cdr:x>0.99372</cdr:x>
      <cdr:y>0.1338</cdr:y>
    </cdr:to>
    <cdr:sp macro="" textlink="">
      <cdr:nvSpPr>
        <cdr:cNvPr id="12" name="ZoneTexte 11">
          <a:extLst xmlns:a="http://schemas.openxmlformats.org/drawingml/2006/main">
            <a:ext uri="{FF2B5EF4-FFF2-40B4-BE49-F238E27FC236}">
              <a16:creationId xmlns:a16="http://schemas.microsoft.com/office/drawing/2014/main" id="{479D8E98-40D0-4B35-9185-E93D85264480}"/>
            </a:ext>
          </a:extLst>
        </cdr:cNvPr>
        <cdr:cNvSpPr txBox="1"/>
      </cdr:nvSpPr>
      <cdr:spPr>
        <a:xfrm xmlns:a="http://schemas.openxmlformats.org/drawingml/2006/main">
          <a:off x="44809" y="225369"/>
          <a:ext cx="4295080" cy="2694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a:t>(= Cout de production - aides ramenées à la tonne)</a:t>
          </a:r>
        </a:p>
      </cdr:txBody>
    </cdr:sp>
  </cdr:relSizeAnchor>
  <cdr:relSizeAnchor xmlns:cdr="http://schemas.openxmlformats.org/drawingml/2006/chartDrawing">
    <cdr:from>
      <cdr:x>0.20969</cdr:x>
      <cdr:y>0.92078</cdr:y>
    </cdr:from>
    <cdr:to>
      <cdr:x>0.8546</cdr:x>
      <cdr:y>0.98189</cdr:y>
    </cdr:to>
    <cdr:grpSp>
      <cdr:nvGrpSpPr>
        <cdr:cNvPr id="13" name="Groupe 12">
          <a:extLst xmlns:a="http://schemas.openxmlformats.org/drawingml/2006/main">
            <a:ext uri="{FF2B5EF4-FFF2-40B4-BE49-F238E27FC236}">
              <a16:creationId xmlns:a16="http://schemas.microsoft.com/office/drawing/2014/main" id="{5811B8EB-488A-4075-BDF5-D2F61C74AC65}"/>
            </a:ext>
          </a:extLst>
        </cdr:cNvPr>
        <cdr:cNvGrpSpPr/>
      </cdr:nvGrpSpPr>
      <cdr:grpSpPr>
        <a:xfrm xmlns:a="http://schemas.openxmlformats.org/drawingml/2006/main">
          <a:off x="940831" y="3319375"/>
          <a:ext cx="2893565" cy="220299"/>
          <a:chOff x="65580" y="0"/>
          <a:chExt cx="3976396" cy="323599"/>
        </a:xfrm>
      </cdr:grpSpPr>
      <cdr:sp macro="" textlink="">
        <cdr:nvSpPr>
          <cdr:cNvPr id="14" name="Rectangle 13">
            <a:extLst xmlns:a="http://schemas.openxmlformats.org/drawingml/2006/main">
              <a:ext uri="{FF2B5EF4-FFF2-40B4-BE49-F238E27FC236}">
                <a16:creationId xmlns:a16="http://schemas.microsoft.com/office/drawing/2014/main" id="{FF7661A1-682E-4D71-A329-BC47BD7E824E}"/>
              </a:ext>
            </a:extLst>
          </cdr:cNvPr>
          <cdr:cNvSpPr/>
        </cdr:nvSpPr>
        <cdr:spPr>
          <a:xfrm xmlns:a="http://schemas.openxmlformats.org/drawingml/2006/main">
            <a:off x="65580" y="2293"/>
            <a:ext cx="3970469" cy="295512"/>
          </a:xfrm>
          <a:prstGeom xmlns:a="http://schemas.openxmlformats.org/drawingml/2006/main" prst="rect">
            <a:avLst/>
          </a:prstGeom>
          <a:solidFill xmlns:a="http://schemas.openxmlformats.org/drawingml/2006/main">
            <a:schemeClr val="bg1"/>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grpSp>
        <cdr:nvGrpSpPr>
          <cdr:cNvPr id="15" name="Groupe 14">
            <a:extLst xmlns:a="http://schemas.openxmlformats.org/drawingml/2006/main">
              <a:ext uri="{FF2B5EF4-FFF2-40B4-BE49-F238E27FC236}">
                <a16:creationId xmlns:a16="http://schemas.microsoft.com/office/drawing/2014/main" id="{559B39B7-7836-435F-A940-8E20530FE1F2}"/>
              </a:ext>
            </a:extLst>
          </cdr:cNvPr>
          <cdr:cNvGrpSpPr/>
        </cdr:nvGrpSpPr>
        <cdr:grpSpPr>
          <a:xfrm xmlns:a="http://schemas.openxmlformats.org/drawingml/2006/main">
            <a:off x="224900" y="0"/>
            <a:ext cx="3817076" cy="323599"/>
            <a:chOff x="159293" y="0"/>
            <a:chExt cx="2702611" cy="256102"/>
          </a:xfrm>
        </cdr:grpSpPr>
        <cdr:sp macro="" textlink="">
          <cdr:nvSpPr>
            <cdr:cNvPr id="16" name="Rectangle 15">
              <a:extLst xmlns:a="http://schemas.openxmlformats.org/drawingml/2006/main">
                <a:ext uri="{FF2B5EF4-FFF2-40B4-BE49-F238E27FC236}">
                  <a16:creationId xmlns:a16="http://schemas.microsoft.com/office/drawing/2014/main" id="{245303FE-B976-4C27-B97D-DD79B05D5520}"/>
                </a:ext>
              </a:extLst>
            </cdr:cNvPr>
            <cdr:cNvSpPr/>
          </cdr:nvSpPr>
          <cdr:spPr>
            <a:xfrm xmlns:a="http://schemas.openxmlformats.org/drawingml/2006/main">
              <a:off x="159293" y="38623"/>
              <a:ext cx="104152" cy="126334"/>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grpSp>
          <cdr:nvGrpSpPr>
            <cdr:cNvPr id="17" name="Groupe 16">
              <a:extLst xmlns:a="http://schemas.openxmlformats.org/drawingml/2006/main">
                <a:ext uri="{FF2B5EF4-FFF2-40B4-BE49-F238E27FC236}">
                  <a16:creationId xmlns:a16="http://schemas.microsoft.com/office/drawing/2014/main" id="{61B58005-8380-461F-8F8A-3FDCC691526F}"/>
                </a:ext>
              </a:extLst>
            </cdr:cNvPr>
            <cdr:cNvGrpSpPr/>
          </cdr:nvGrpSpPr>
          <cdr:grpSpPr>
            <a:xfrm xmlns:a="http://schemas.openxmlformats.org/drawingml/2006/main">
              <a:off x="300840" y="0"/>
              <a:ext cx="2561064" cy="256102"/>
              <a:chOff x="300908" y="0"/>
              <a:chExt cx="2562125" cy="256476"/>
            </a:xfrm>
          </cdr:grpSpPr>
          <cdr:sp macro="" textlink="">
            <cdr:nvSpPr>
              <cdr:cNvPr id="20" name="ZoneTexte 8">
                <a:extLst xmlns:a="http://schemas.openxmlformats.org/drawingml/2006/main">
                  <a:ext uri="{FF2B5EF4-FFF2-40B4-BE49-F238E27FC236}">
                    <a16:creationId xmlns:a16="http://schemas.microsoft.com/office/drawing/2014/main" id="{954276A0-FDAA-4D14-B3B5-E00E45F2A31D}"/>
                  </a:ext>
                </a:extLst>
              </cdr:cNvPr>
              <cdr:cNvSpPr txBox="1"/>
            </cdr:nvSpPr>
            <cdr:spPr>
              <a:xfrm xmlns:a="http://schemas.openxmlformats.org/drawingml/2006/main">
                <a:off x="300908" y="0"/>
                <a:ext cx="2562125" cy="25647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a:t>Rdt moyen          Rdt min         Rdt max</a:t>
                </a:r>
              </a:p>
            </cdr:txBody>
          </cdr:sp>
          <cdr:sp macro="" textlink="">
            <cdr:nvSpPr>
              <cdr:cNvPr id="18" name="Rectangle 17">
                <a:extLst xmlns:a="http://schemas.openxmlformats.org/drawingml/2006/main">
                  <a:ext uri="{FF2B5EF4-FFF2-40B4-BE49-F238E27FC236}">
                    <a16:creationId xmlns:a16="http://schemas.microsoft.com/office/drawing/2014/main" id="{2AA708CD-433C-4E27-BB93-4BA56D9E46FD}"/>
                  </a:ext>
                </a:extLst>
              </cdr:cNvPr>
              <cdr:cNvSpPr/>
            </cdr:nvSpPr>
            <cdr:spPr>
              <a:xfrm xmlns:a="http://schemas.openxmlformats.org/drawingml/2006/main">
                <a:off x="1179536" y="43899"/>
                <a:ext cx="104195" cy="126522"/>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sp macro="" textlink="">
            <cdr:nvSpPr>
              <cdr:cNvPr id="19" name="Ellipse 18">
                <a:extLst xmlns:a="http://schemas.openxmlformats.org/drawingml/2006/main">
                  <a:ext uri="{FF2B5EF4-FFF2-40B4-BE49-F238E27FC236}">
                    <a16:creationId xmlns:a16="http://schemas.microsoft.com/office/drawing/2014/main" id="{458DFA3B-229C-4B8B-8E87-BBE7D34EA8B6}"/>
                  </a:ext>
                </a:extLst>
              </cdr:cNvPr>
              <cdr:cNvSpPr/>
            </cdr:nvSpPr>
            <cdr:spPr>
              <a:xfrm xmlns:a="http://schemas.openxmlformats.org/drawingml/2006/main">
                <a:off x="1938493" y="50146"/>
                <a:ext cx="104297" cy="126664"/>
              </a:xfrm>
              <a:prstGeom xmlns:a="http://schemas.openxmlformats.org/drawingml/2006/main" prst="ellipse">
                <a:avLst/>
              </a:prstGeom>
              <a:solidFill xmlns:a="http://schemas.openxmlformats.org/drawingml/2006/main">
                <a:srgbClr val="92D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grpSp>
      </cdr:grpSp>
    </cdr:grpSp>
  </cdr:relSizeAnchor>
</c:userShapes>
</file>

<file path=xl/drawings/drawing15.xml><?xml version="1.0" encoding="utf-8"?>
<c:userShapes xmlns:c="http://schemas.openxmlformats.org/drawingml/2006/chart">
  <cdr:relSizeAnchor xmlns:cdr="http://schemas.openxmlformats.org/drawingml/2006/chartDrawing">
    <cdr:from>
      <cdr:x>0.01186</cdr:x>
      <cdr:y>0.05235</cdr:y>
    </cdr:from>
    <cdr:to>
      <cdr:x>0.98272</cdr:x>
      <cdr:y>0.10357</cdr:y>
    </cdr:to>
    <cdr:sp macro="" textlink="">
      <cdr:nvSpPr>
        <cdr:cNvPr id="3" name="ZoneTexte 1">
          <a:extLst xmlns:a="http://schemas.openxmlformats.org/drawingml/2006/main">
            <a:ext uri="{FF2B5EF4-FFF2-40B4-BE49-F238E27FC236}">
              <a16:creationId xmlns:a16="http://schemas.microsoft.com/office/drawing/2014/main" id="{5F1506AE-4ABD-472E-8ED0-B126D99C4B17}"/>
            </a:ext>
          </a:extLst>
        </cdr:cNvPr>
        <cdr:cNvSpPr txBox="1"/>
      </cdr:nvSpPr>
      <cdr:spPr>
        <a:xfrm xmlns:a="http://schemas.openxmlformats.org/drawingml/2006/main">
          <a:off x="73212" y="274918"/>
          <a:ext cx="5995147" cy="2689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a:t>(= rendement</a:t>
          </a:r>
          <a:r>
            <a:rPr lang="fr-FR" sz="1200" baseline="0"/>
            <a:t> x prix de vente + aides - charges *</a:t>
          </a:r>
          <a:r>
            <a:rPr lang="fr-FR" sz="1200"/>
            <a:t>)</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18</xdr:col>
      <xdr:colOff>274026</xdr:colOff>
      <xdr:row>16</xdr:row>
      <xdr:rowOff>160556</xdr:rowOff>
    </xdr:from>
    <xdr:to>
      <xdr:col>31</xdr:col>
      <xdr:colOff>267546</xdr:colOff>
      <xdr:row>38</xdr:row>
      <xdr:rowOff>152851</xdr:rowOff>
    </xdr:to>
    <xdr:graphicFrame macro="">
      <xdr:nvGraphicFramePr>
        <xdr:cNvPr id="9" name="Graphique 8">
          <a:extLst>
            <a:ext uri="{FF2B5EF4-FFF2-40B4-BE49-F238E27FC236}">
              <a16:creationId xmlns:a16="http://schemas.microsoft.com/office/drawing/2014/main" id="{CDA3E6AA-D830-45CF-AC33-65AECF806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133034</xdr:colOff>
      <xdr:row>16</xdr:row>
      <xdr:rowOff>159724</xdr:rowOff>
    </xdr:from>
    <xdr:to>
      <xdr:col>19</xdr:col>
      <xdr:colOff>73293</xdr:colOff>
      <xdr:row>38</xdr:row>
      <xdr:rowOff>153593</xdr:rowOff>
    </xdr:to>
    <xdr:graphicFrame macro="">
      <xdr:nvGraphicFramePr>
        <xdr:cNvPr id="15" name="Graphique 14">
          <a:extLst>
            <a:ext uri="{FF2B5EF4-FFF2-40B4-BE49-F238E27FC236}">
              <a16:creationId xmlns:a16="http://schemas.microsoft.com/office/drawing/2014/main" id="{4A51D24E-DC29-47F8-85D8-3F8690FCC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33541</xdr:colOff>
      <xdr:row>18</xdr:row>
      <xdr:rowOff>16931</xdr:rowOff>
    </xdr:from>
    <xdr:to>
      <xdr:col>44</xdr:col>
      <xdr:colOff>58931</xdr:colOff>
      <xdr:row>33</xdr:row>
      <xdr:rowOff>101352</xdr:rowOff>
    </xdr:to>
    <xdr:grpSp>
      <xdr:nvGrpSpPr>
        <xdr:cNvPr id="94" name="Groupe 93">
          <a:extLst>
            <a:ext uri="{FF2B5EF4-FFF2-40B4-BE49-F238E27FC236}">
              <a16:creationId xmlns:a16="http://schemas.microsoft.com/office/drawing/2014/main" id="{27AA36CC-3FBB-40BD-A1CB-73B67572CB85}"/>
            </a:ext>
          </a:extLst>
        </xdr:cNvPr>
        <xdr:cNvGrpSpPr/>
      </xdr:nvGrpSpPr>
      <xdr:grpSpPr>
        <a:xfrm>
          <a:off x="9587116" y="4026956"/>
          <a:ext cx="3168640" cy="2941921"/>
          <a:chOff x="7299755" y="3786110"/>
          <a:chExt cx="3168640" cy="2941921"/>
        </a:xfrm>
      </xdr:grpSpPr>
      <xdr:grpSp>
        <xdr:nvGrpSpPr>
          <xdr:cNvPr id="11" name="Groupe 10">
            <a:extLst>
              <a:ext uri="{FF2B5EF4-FFF2-40B4-BE49-F238E27FC236}">
                <a16:creationId xmlns:a16="http://schemas.microsoft.com/office/drawing/2014/main" id="{2C495E26-080A-491E-A3A2-01307B823438}"/>
              </a:ext>
            </a:extLst>
          </xdr:cNvPr>
          <xdr:cNvGrpSpPr/>
        </xdr:nvGrpSpPr>
        <xdr:grpSpPr>
          <a:xfrm>
            <a:off x="7299755" y="3786110"/>
            <a:ext cx="1924813" cy="794973"/>
            <a:chOff x="10204216" y="12463646"/>
            <a:chExt cx="1873792" cy="779182"/>
          </a:xfrm>
        </xdr:grpSpPr>
        <xdr:grpSp>
          <xdr:nvGrpSpPr>
            <xdr:cNvPr id="64" name="Groupe 63">
              <a:extLst>
                <a:ext uri="{FF2B5EF4-FFF2-40B4-BE49-F238E27FC236}">
                  <a16:creationId xmlns:a16="http://schemas.microsoft.com/office/drawing/2014/main" id="{70EC3432-4C92-4A64-A421-A3D445D42FE5}"/>
                </a:ext>
              </a:extLst>
            </xdr:cNvPr>
            <xdr:cNvGrpSpPr/>
          </xdr:nvGrpSpPr>
          <xdr:grpSpPr>
            <a:xfrm>
              <a:off x="10381527" y="12946959"/>
              <a:ext cx="206335" cy="98381"/>
              <a:chOff x="28820269" y="7548562"/>
              <a:chExt cx="297656" cy="142875"/>
            </a:xfrm>
            <a:solidFill>
              <a:schemeClr val="accent3"/>
            </a:solidFill>
          </xdr:grpSpPr>
          <xdr:cxnSp macro="">
            <xdr:nvCxnSpPr>
              <xdr:cNvPr id="74" name="Connecteur droit 73">
                <a:extLst>
                  <a:ext uri="{FF2B5EF4-FFF2-40B4-BE49-F238E27FC236}">
                    <a16:creationId xmlns:a16="http://schemas.microsoft.com/office/drawing/2014/main" id="{EFA7DB09-4AF5-46E1-99A1-79B304F5B1F0}"/>
                  </a:ext>
                </a:extLst>
              </xdr:cNvPr>
              <xdr:cNvCxnSpPr/>
            </xdr:nvCxnSpPr>
            <xdr:spPr>
              <a:xfrm>
                <a:off x="28820269" y="7603331"/>
                <a:ext cx="297656" cy="0"/>
              </a:xfrm>
              <a:prstGeom prst="line">
                <a:avLst/>
              </a:prstGeom>
              <a:grpFill/>
              <a:ln w="28575" cap="rnd">
                <a:solidFill>
                  <a:schemeClr val="accent3"/>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75" name="Losange 74">
                <a:extLst>
                  <a:ext uri="{FF2B5EF4-FFF2-40B4-BE49-F238E27FC236}">
                    <a16:creationId xmlns:a16="http://schemas.microsoft.com/office/drawing/2014/main" id="{D9CEB2B4-BA8B-4805-A549-3258DFA9331C}"/>
                  </a:ext>
                </a:extLst>
              </xdr:cNvPr>
              <xdr:cNvSpPr/>
            </xdr:nvSpPr>
            <xdr:spPr>
              <a:xfrm>
                <a:off x="28908376" y="7548562"/>
                <a:ext cx="142874" cy="142875"/>
              </a:xfrm>
              <a:prstGeom prst="diamond">
                <a:avLst/>
              </a:prstGeom>
              <a:grpFill/>
              <a:ln w="28575">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nvGrpSpPr>
            <xdr:cNvPr id="65" name="Groupe 64">
              <a:extLst>
                <a:ext uri="{FF2B5EF4-FFF2-40B4-BE49-F238E27FC236}">
                  <a16:creationId xmlns:a16="http://schemas.microsoft.com/office/drawing/2014/main" id="{B20EDE2D-866B-4DAC-B29C-6A073D9F74EB}"/>
                </a:ext>
              </a:extLst>
            </xdr:cNvPr>
            <xdr:cNvGrpSpPr/>
          </xdr:nvGrpSpPr>
          <xdr:grpSpPr>
            <a:xfrm>
              <a:off x="10380038" y="12759230"/>
              <a:ext cx="206335" cy="65587"/>
              <a:chOff x="28667869" y="7405687"/>
              <a:chExt cx="297656" cy="95250"/>
            </a:xfrm>
            <a:solidFill>
              <a:schemeClr val="accent3">
                <a:lumMod val="50000"/>
              </a:schemeClr>
            </a:solidFill>
          </xdr:grpSpPr>
          <xdr:sp macro="" textlink="">
            <xdr:nvSpPr>
              <xdr:cNvPr id="72" name="Rectangle 71">
                <a:extLst>
                  <a:ext uri="{FF2B5EF4-FFF2-40B4-BE49-F238E27FC236}">
                    <a16:creationId xmlns:a16="http://schemas.microsoft.com/office/drawing/2014/main" id="{FEF4F151-F2BF-4C61-87F9-D7865FB632AB}"/>
                  </a:ext>
                </a:extLst>
              </xdr:cNvPr>
              <xdr:cNvSpPr/>
            </xdr:nvSpPr>
            <xdr:spPr>
              <a:xfrm>
                <a:off x="28777406" y="7405687"/>
                <a:ext cx="95250" cy="95250"/>
              </a:xfrm>
              <a:prstGeom prst="rect">
                <a:avLst/>
              </a:prstGeom>
              <a:grpFill/>
              <a:ln w="28575">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xnSp macro="">
            <xdr:nvCxnSpPr>
              <xdr:cNvPr id="73" name="Connecteur droit 72">
                <a:extLst>
                  <a:ext uri="{FF2B5EF4-FFF2-40B4-BE49-F238E27FC236}">
                    <a16:creationId xmlns:a16="http://schemas.microsoft.com/office/drawing/2014/main" id="{EADED36B-A944-4048-861D-11D5F5DDFEBB}"/>
                  </a:ext>
                </a:extLst>
              </xdr:cNvPr>
              <xdr:cNvCxnSpPr/>
            </xdr:nvCxnSpPr>
            <xdr:spPr>
              <a:xfrm>
                <a:off x="28667869" y="7450931"/>
                <a:ext cx="297656" cy="0"/>
              </a:xfrm>
              <a:prstGeom prst="line">
                <a:avLst/>
              </a:prstGeom>
              <a:grpFill/>
              <a:ln w="28575" cap="rnd">
                <a:solidFill>
                  <a:schemeClr val="accent3">
                    <a:lumMod val="50000"/>
                  </a:schemeClr>
                </a:solidFill>
              </a:ln>
            </xdr:spPr>
            <xdr:style>
              <a:lnRef idx="1">
                <a:schemeClr val="accent1"/>
              </a:lnRef>
              <a:fillRef idx="0">
                <a:schemeClr val="accent1"/>
              </a:fillRef>
              <a:effectRef idx="0">
                <a:schemeClr val="accent1"/>
              </a:effectRef>
              <a:fontRef idx="minor">
                <a:schemeClr val="tx1"/>
              </a:fontRef>
            </xdr:style>
          </xdr:cxnSp>
        </xdr:grpSp>
        <xdr:grpSp>
          <xdr:nvGrpSpPr>
            <xdr:cNvPr id="66" name="Groupe 65">
              <a:extLst>
                <a:ext uri="{FF2B5EF4-FFF2-40B4-BE49-F238E27FC236}">
                  <a16:creationId xmlns:a16="http://schemas.microsoft.com/office/drawing/2014/main" id="{F7F7246F-6040-4CAD-B553-B3A6CC8B3213}"/>
                </a:ext>
              </a:extLst>
            </xdr:cNvPr>
            <xdr:cNvGrpSpPr/>
          </xdr:nvGrpSpPr>
          <xdr:grpSpPr>
            <a:xfrm>
              <a:off x="10376238" y="12567737"/>
              <a:ext cx="206335" cy="65587"/>
              <a:chOff x="28515469" y="7250906"/>
              <a:chExt cx="297656" cy="95250"/>
            </a:xfrm>
            <a:solidFill>
              <a:srgbClr val="D99694"/>
            </a:solidFill>
          </xdr:grpSpPr>
          <xdr:cxnSp macro="">
            <xdr:nvCxnSpPr>
              <xdr:cNvPr id="70" name="Connecteur droit 69">
                <a:extLst>
                  <a:ext uri="{FF2B5EF4-FFF2-40B4-BE49-F238E27FC236}">
                    <a16:creationId xmlns:a16="http://schemas.microsoft.com/office/drawing/2014/main" id="{DD82CA1A-58A3-49D3-9768-629C69174806}"/>
                  </a:ext>
                </a:extLst>
              </xdr:cNvPr>
              <xdr:cNvCxnSpPr/>
            </xdr:nvCxnSpPr>
            <xdr:spPr>
              <a:xfrm>
                <a:off x="28515469" y="7298531"/>
                <a:ext cx="297656" cy="0"/>
              </a:xfrm>
              <a:prstGeom prst="line">
                <a:avLst/>
              </a:prstGeom>
              <a:grpFill/>
              <a:ln w="28575" cap="rnd">
                <a:solidFill>
                  <a:srgbClr val="D99694"/>
                </a:solidFill>
              </a:ln>
            </xdr:spPr>
            <xdr:style>
              <a:lnRef idx="1">
                <a:schemeClr val="accent1"/>
              </a:lnRef>
              <a:fillRef idx="0">
                <a:schemeClr val="accent1"/>
              </a:fillRef>
              <a:effectRef idx="0">
                <a:schemeClr val="accent1"/>
              </a:effectRef>
              <a:fontRef idx="minor">
                <a:schemeClr val="tx1"/>
              </a:fontRef>
            </xdr:style>
          </xdr:cxnSp>
          <xdr:sp macro="" textlink="">
            <xdr:nvSpPr>
              <xdr:cNvPr id="71" name="Ellipse 70">
                <a:extLst>
                  <a:ext uri="{FF2B5EF4-FFF2-40B4-BE49-F238E27FC236}">
                    <a16:creationId xmlns:a16="http://schemas.microsoft.com/office/drawing/2014/main" id="{D743ABD0-5F5E-4ADD-84DD-EA2F092A3BFA}"/>
                  </a:ext>
                </a:extLst>
              </xdr:cNvPr>
              <xdr:cNvSpPr/>
            </xdr:nvSpPr>
            <xdr:spPr>
              <a:xfrm>
                <a:off x="28622625" y="7250906"/>
                <a:ext cx="95250" cy="95250"/>
              </a:xfrm>
              <a:prstGeom prst="ellipse">
                <a:avLst/>
              </a:prstGeom>
              <a:grpFill/>
              <a:ln w="28575">
                <a:solidFill>
                  <a:srgbClr val="D9969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67" name="Rectangle 66">
              <a:extLst>
                <a:ext uri="{FF2B5EF4-FFF2-40B4-BE49-F238E27FC236}">
                  <a16:creationId xmlns:a16="http://schemas.microsoft.com/office/drawing/2014/main" id="{A3CC270E-B588-40C7-AFA3-FE6D312B215B}"/>
                </a:ext>
              </a:extLst>
            </xdr:cNvPr>
            <xdr:cNvSpPr/>
          </xdr:nvSpPr>
          <xdr:spPr>
            <a:xfrm>
              <a:off x="10208558" y="12550614"/>
              <a:ext cx="110109" cy="109375"/>
            </a:xfrm>
            <a:prstGeom prst="rect">
              <a:avLst/>
            </a:prstGeom>
            <a:solidFill>
              <a:srgbClr val="D996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68" name="Rectangle 67">
              <a:extLst>
                <a:ext uri="{FF2B5EF4-FFF2-40B4-BE49-F238E27FC236}">
                  <a16:creationId xmlns:a16="http://schemas.microsoft.com/office/drawing/2014/main" id="{77815CDB-CCB7-474D-92C8-7098DE95BDFD}"/>
                </a:ext>
              </a:extLst>
            </xdr:cNvPr>
            <xdr:cNvSpPr/>
          </xdr:nvSpPr>
          <xdr:spPr>
            <a:xfrm>
              <a:off x="10204216" y="12734670"/>
              <a:ext cx="110109" cy="109375"/>
            </a:xfrm>
            <a:prstGeom prst="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69" name="ZoneTexte 68">
              <a:extLst>
                <a:ext uri="{FF2B5EF4-FFF2-40B4-BE49-F238E27FC236}">
                  <a16:creationId xmlns:a16="http://schemas.microsoft.com/office/drawing/2014/main" id="{4A51874F-7F1E-4F3A-8C0F-28B623CDDC28}"/>
                </a:ext>
              </a:extLst>
            </xdr:cNvPr>
            <xdr:cNvSpPr txBox="1"/>
          </xdr:nvSpPr>
          <xdr:spPr>
            <a:xfrm>
              <a:off x="10554008" y="12463646"/>
              <a:ext cx="1524000" cy="779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Semences</a:t>
              </a:r>
            </a:p>
            <a:p>
              <a:r>
                <a:rPr lang="fr-FR" sz="1200"/>
                <a:t>Engrais</a:t>
              </a:r>
              <a:r>
                <a:rPr lang="fr-FR" sz="1200" baseline="0"/>
                <a:t> total</a:t>
              </a:r>
            </a:p>
            <a:p>
              <a:r>
                <a:rPr lang="fr-FR" sz="1200"/>
                <a:t>dont azote simple</a:t>
              </a:r>
            </a:p>
            <a:p>
              <a:endParaRPr lang="fr-FR" sz="1200"/>
            </a:p>
          </xdr:txBody>
        </xdr:sp>
      </xdr:grpSp>
      <xdr:grpSp>
        <xdr:nvGrpSpPr>
          <xdr:cNvPr id="12" name="Groupe 11">
            <a:extLst>
              <a:ext uri="{FF2B5EF4-FFF2-40B4-BE49-F238E27FC236}">
                <a16:creationId xmlns:a16="http://schemas.microsoft.com/office/drawing/2014/main" id="{95D7DA18-7182-493A-B918-31D5E638755D}"/>
              </a:ext>
            </a:extLst>
          </xdr:cNvPr>
          <xdr:cNvGrpSpPr/>
        </xdr:nvGrpSpPr>
        <xdr:grpSpPr>
          <a:xfrm>
            <a:off x="7357682" y="6176177"/>
            <a:ext cx="3110713" cy="551854"/>
            <a:chOff x="17977092" y="12488794"/>
            <a:chExt cx="3028257" cy="540892"/>
          </a:xfrm>
        </xdr:grpSpPr>
        <xdr:grpSp>
          <xdr:nvGrpSpPr>
            <xdr:cNvPr id="56" name="Groupe 55">
              <a:extLst>
                <a:ext uri="{FF2B5EF4-FFF2-40B4-BE49-F238E27FC236}">
                  <a16:creationId xmlns:a16="http://schemas.microsoft.com/office/drawing/2014/main" id="{2F288EB3-8545-4163-98E4-6B6432F5F3ED}"/>
                </a:ext>
              </a:extLst>
            </xdr:cNvPr>
            <xdr:cNvGrpSpPr/>
          </xdr:nvGrpSpPr>
          <xdr:grpSpPr>
            <a:xfrm>
              <a:off x="18133808" y="12786495"/>
              <a:ext cx="206335" cy="65587"/>
              <a:chOff x="28515469" y="7250906"/>
              <a:chExt cx="297656" cy="95250"/>
            </a:xfrm>
            <a:solidFill>
              <a:srgbClr val="FF0000"/>
            </a:solidFill>
          </xdr:grpSpPr>
          <xdr:cxnSp macro="">
            <xdr:nvCxnSpPr>
              <xdr:cNvPr id="62" name="Connecteur droit 61">
                <a:extLst>
                  <a:ext uri="{FF2B5EF4-FFF2-40B4-BE49-F238E27FC236}">
                    <a16:creationId xmlns:a16="http://schemas.microsoft.com/office/drawing/2014/main" id="{2E5279DA-80C4-40CF-B1D8-5625A599F56B}"/>
                  </a:ext>
                </a:extLst>
              </xdr:cNvPr>
              <xdr:cNvCxnSpPr/>
            </xdr:nvCxnSpPr>
            <xdr:spPr>
              <a:xfrm>
                <a:off x="28515469" y="7298531"/>
                <a:ext cx="297656" cy="0"/>
              </a:xfrm>
              <a:prstGeom prst="line">
                <a:avLst/>
              </a:prstGeom>
              <a:grpFill/>
              <a:ln w="28575" cap="rnd">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63" name="Ellipse 62">
                <a:extLst>
                  <a:ext uri="{FF2B5EF4-FFF2-40B4-BE49-F238E27FC236}">
                    <a16:creationId xmlns:a16="http://schemas.microsoft.com/office/drawing/2014/main" id="{E8644F3D-BE3B-4292-9673-61B103190D85}"/>
                  </a:ext>
                </a:extLst>
              </xdr:cNvPr>
              <xdr:cNvSpPr/>
            </xdr:nvSpPr>
            <xdr:spPr>
              <a:xfrm>
                <a:off x="28622625" y="7250906"/>
                <a:ext cx="95250" cy="95250"/>
              </a:xfrm>
              <a:prstGeom prst="ellipse">
                <a:avLst/>
              </a:prstGeom>
              <a:grp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57" name="ZoneTexte 56">
              <a:extLst>
                <a:ext uri="{FF2B5EF4-FFF2-40B4-BE49-F238E27FC236}">
                  <a16:creationId xmlns:a16="http://schemas.microsoft.com/office/drawing/2014/main" id="{E12FDB3B-314B-4A37-B666-53A0F5DCBF75}"/>
                </a:ext>
              </a:extLst>
            </xdr:cNvPr>
            <xdr:cNvSpPr txBox="1"/>
          </xdr:nvSpPr>
          <xdr:spPr>
            <a:xfrm>
              <a:off x="18280078" y="12488794"/>
              <a:ext cx="2725271" cy="540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Rémunération de la</a:t>
              </a:r>
              <a:r>
                <a:rPr lang="fr-FR" sz="1200" baseline="0"/>
                <a:t> MO familiale</a:t>
              </a:r>
            </a:p>
            <a:p>
              <a:r>
                <a:rPr lang="fr-FR" sz="1200" baseline="0"/>
                <a:t>Total des charges</a:t>
              </a:r>
              <a:endParaRPr lang="fr-FR" sz="1200"/>
            </a:p>
          </xdr:txBody>
        </xdr:sp>
        <xdr:grpSp>
          <xdr:nvGrpSpPr>
            <xdr:cNvPr id="58" name="Groupe 57">
              <a:extLst>
                <a:ext uri="{FF2B5EF4-FFF2-40B4-BE49-F238E27FC236}">
                  <a16:creationId xmlns:a16="http://schemas.microsoft.com/office/drawing/2014/main" id="{AE2DBDBB-046B-4032-950A-ADBDB5EAC495}"/>
                </a:ext>
              </a:extLst>
            </xdr:cNvPr>
            <xdr:cNvGrpSpPr/>
          </xdr:nvGrpSpPr>
          <xdr:grpSpPr>
            <a:xfrm>
              <a:off x="18133808" y="12601279"/>
              <a:ext cx="206335" cy="65587"/>
              <a:chOff x="28515469" y="7250906"/>
              <a:chExt cx="297656" cy="95250"/>
            </a:xfrm>
            <a:solidFill>
              <a:schemeClr val="accent5">
                <a:lumMod val="75000"/>
              </a:schemeClr>
            </a:solidFill>
          </xdr:grpSpPr>
          <xdr:cxnSp macro="">
            <xdr:nvCxnSpPr>
              <xdr:cNvPr id="60" name="Connecteur droit 59">
                <a:extLst>
                  <a:ext uri="{FF2B5EF4-FFF2-40B4-BE49-F238E27FC236}">
                    <a16:creationId xmlns:a16="http://schemas.microsoft.com/office/drawing/2014/main" id="{24A495A8-2EFD-4D1F-80C6-AEE90F5702F1}"/>
                  </a:ext>
                </a:extLst>
              </xdr:cNvPr>
              <xdr:cNvCxnSpPr/>
            </xdr:nvCxnSpPr>
            <xdr:spPr>
              <a:xfrm>
                <a:off x="28515469" y="7298531"/>
                <a:ext cx="297656" cy="0"/>
              </a:xfrm>
              <a:prstGeom prst="line">
                <a:avLst/>
              </a:prstGeom>
              <a:grpFill/>
              <a:ln w="28575" cap="rnd">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61" name="Ellipse 60">
                <a:extLst>
                  <a:ext uri="{FF2B5EF4-FFF2-40B4-BE49-F238E27FC236}">
                    <a16:creationId xmlns:a16="http://schemas.microsoft.com/office/drawing/2014/main" id="{26BE7B08-F95B-435C-82DB-242E513AAFC7}"/>
                  </a:ext>
                </a:extLst>
              </xdr:cNvPr>
              <xdr:cNvSpPr/>
            </xdr:nvSpPr>
            <xdr:spPr>
              <a:xfrm>
                <a:off x="28622625" y="7250906"/>
                <a:ext cx="95250" cy="95250"/>
              </a:xfrm>
              <a:prstGeom prst="ellipse">
                <a:avLst/>
              </a:prstGeom>
              <a:grpFill/>
              <a:ln w="28575">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59" name="Rectangle 58">
              <a:extLst>
                <a:ext uri="{FF2B5EF4-FFF2-40B4-BE49-F238E27FC236}">
                  <a16:creationId xmlns:a16="http://schemas.microsoft.com/office/drawing/2014/main" id="{B119F786-329D-4F75-A26B-C5918A2BC955}"/>
                </a:ext>
              </a:extLst>
            </xdr:cNvPr>
            <xdr:cNvSpPr/>
          </xdr:nvSpPr>
          <xdr:spPr>
            <a:xfrm>
              <a:off x="17977092" y="12578506"/>
              <a:ext cx="110109" cy="109375"/>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nvGrpSpPr>
          <xdr:cNvPr id="13" name="Groupe 12">
            <a:extLst>
              <a:ext uri="{FF2B5EF4-FFF2-40B4-BE49-F238E27FC236}">
                <a16:creationId xmlns:a16="http://schemas.microsoft.com/office/drawing/2014/main" id="{478D5F43-4093-4454-92FE-8C452F39CF83}"/>
              </a:ext>
            </a:extLst>
          </xdr:cNvPr>
          <xdr:cNvGrpSpPr/>
        </xdr:nvGrpSpPr>
        <xdr:grpSpPr>
          <a:xfrm>
            <a:off x="7345526" y="5617084"/>
            <a:ext cx="2105723" cy="696616"/>
            <a:chOff x="15675326" y="12486571"/>
            <a:chExt cx="2049907" cy="682778"/>
          </a:xfrm>
        </xdr:grpSpPr>
        <xdr:grpSp>
          <xdr:nvGrpSpPr>
            <xdr:cNvPr id="43" name="Groupe 42">
              <a:extLst>
                <a:ext uri="{FF2B5EF4-FFF2-40B4-BE49-F238E27FC236}">
                  <a16:creationId xmlns:a16="http://schemas.microsoft.com/office/drawing/2014/main" id="{5A946984-DDB0-4AFD-91BD-4715CD8E0050}"/>
                </a:ext>
              </a:extLst>
            </xdr:cNvPr>
            <xdr:cNvGrpSpPr/>
          </xdr:nvGrpSpPr>
          <xdr:grpSpPr>
            <a:xfrm>
              <a:off x="15827945" y="12974315"/>
              <a:ext cx="206335" cy="65587"/>
              <a:chOff x="28515469" y="7250906"/>
              <a:chExt cx="297656" cy="95250"/>
            </a:xfrm>
            <a:solidFill>
              <a:schemeClr val="tx1"/>
            </a:solidFill>
          </xdr:grpSpPr>
          <xdr:cxnSp macro="">
            <xdr:nvCxnSpPr>
              <xdr:cNvPr id="54" name="Connecteur droit 53">
                <a:extLst>
                  <a:ext uri="{FF2B5EF4-FFF2-40B4-BE49-F238E27FC236}">
                    <a16:creationId xmlns:a16="http://schemas.microsoft.com/office/drawing/2014/main" id="{4E8F6907-A6BB-46A8-9CA9-234FC98723C0}"/>
                  </a:ext>
                </a:extLst>
              </xdr:cNvPr>
              <xdr:cNvCxnSpPr/>
            </xdr:nvCxnSpPr>
            <xdr:spPr>
              <a:xfrm>
                <a:off x="28515469" y="7298531"/>
                <a:ext cx="297656" cy="0"/>
              </a:xfrm>
              <a:prstGeom prst="line">
                <a:avLst/>
              </a:prstGeom>
              <a:grpFill/>
              <a:ln w="28575" cap="rnd">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55" name="Ellipse 54">
                <a:extLst>
                  <a:ext uri="{FF2B5EF4-FFF2-40B4-BE49-F238E27FC236}">
                    <a16:creationId xmlns:a16="http://schemas.microsoft.com/office/drawing/2014/main" id="{E9E495EC-EC97-4152-A4BB-7954CC612DB7}"/>
                  </a:ext>
                </a:extLst>
              </xdr:cNvPr>
              <xdr:cNvSpPr/>
            </xdr:nvSpPr>
            <xdr:spPr>
              <a:xfrm>
                <a:off x="28622625" y="7250906"/>
                <a:ext cx="95250" cy="95250"/>
              </a:xfrm>
              <a:prstGeom prst="ellipse">
                <a:avLst/>
              </a:prstGeom>
              <a:solidFill>
                <a:schemeClr val="bg1">
                  <a:lumMod val="65000"/>
                </a:schemeClr>
              </a:solid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44" name="Rectangle 43">
              <a:extLst>
                <a:ext uri="{FF2B5EF4-FFF2-40B4-BE49-F238E27FC236}">
                  <a16:creationId xmlns:a16="http://schemas.microsoft.com/office/drawing/2014/main" id="{14973158-F11D-407C-9F04-098F72433CF6}"/>
                </a:ext>
              </a:extLst>
            </xdr:cNvPr>
            <xdr:cNvSpPr/>
          </xdr:nvSpPr>
          <xdr:spPr>
            <a:xfrm>
              <a:off x="15675326" y="12938635"/>
              <a:ext cx="110109" cy="109375"/>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5" name="ZoneTexte 44">
              <a:extLst>
                <a:ext uri="{FF2B5EF4-FFF2-40B4-BE49-F238E27FC236}">
                  <a16:creationId xmlns:a16="http://schemas.microsoft.com/office/drawing/2014/main" id="{3BC1E2FF-3902-4867-9B24-F55D245B6B68}"/>
                </a:ext>
              </a:extLst>
            </xdr:cNvPr>
            <xdr:cNvSpPr txBox="1"/>
          </xdr:nvSpPr>
          <xdr:spPr>
            <a:xfrm>
              <a:off x="15983839" y="12486571"/>
              <a:ext cx="1741394" cy="682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aseline="0"/>
                <a:t>Entretien-réparation</a:t>
              </a:r>
            </a:p>
            <a:p>
              <a:r>
                <a:rPr lang="fr-FR" sz="1200" baseline="0"/>
                <a:t>Travaux par tiers</a:t>
              </a: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dk1"/>
                  </a:solidFill>
                  <a:effectLst/>
                  <a:latin typeface="+mn-lt"/>
                  <a:ea typeface="+mn-ea"/>
                  <a:cs typeface="+mn-cs"/>
                </a:rPr>
                <a:t>Autres charges (1)</a:t>
              </a:r>
              <a:endParaRPr lang="fr-FR" sz="1400">
                <a:effectLst/>
              </a:endParaRPr>
            </a:p>
            <a:p>
              <a:endParaRPr lang="fr-FR" sz="1200" baseline="0"/>
            </a:p>
          </xdr:txBody>
        </xdr:sp>
        <xdr:grpSp>
          <xdr:nvGrpSpPr>
            <xdr:cNvPr id="46" name="Groupe 45">
              <a:extLst>
                <a:ext uri="{FF2B5EF4-FFF2-40B4-BE49-F238E27FC236}">
                  <a16:creationId xmlns:a16="http://schemas.microsoft.com/office/drawing/2014/main" id="{5AD36BE7-C5A2-4290-B6CE-6D428FA8AA1B}"/>
                </a:ext>
              </a:extLst>
            </xdr:cNvPr>
            <xdr:cNvGrpSpPr/>
          </xdr:nvGrpSpPr>
          <xdr:grpSpPr>
            <a:xfrm>
              <a:off x="15826980" y="12596936"/>
              <a:ext cx="206335" cy="65587"/>
              <a:chOff x="28515469" y="7250906"/>
              <a:chExt cx="297656" cy="95250"/>
            </a:xfrm>
            <a:solidFill>
              <a:srgbClr val="CC00CC"/>
            </a:solidFill>
          </xdr:grpSpPr>
          <xdr:cxnSp macro="">
            <xdr:nvCxnSpPr>
              <xdr:cNvPr id="52" name="Connecteur droit 51">
                <a:extLst>
                  <a:ext uri="{FF2B5EF4-FFF2-40B4-BE49-F238E27FC236}">
                    <a16:creationId xmlns:a16="http://schemas.microsoft.com/office/drawing/2014/main" id="{F6A74167-B4D4-4028-A28C-D0A651766D70}"/>
                  </a:ext>
                </a:extLst>
              </xdr:cNvPr>
              <xdr:cNvCxnSpPr/>
            </xdr:nvCxnSpPr>
            <xdr:spPr>
              <a:xfrm>
                <a:off x="28515469" y="7298531"/>
                <a:ext cx="297656" cy="0"/>
              </a:xfrm>
              <a:prstGeom prst="line">
                <a:avLst/>
              </a:prstGeom>
              <a:grpFill/>
              <a:ln w="28575" cap="rnd">
                <a:solidFill>
                  <a:srgbClr val="CC00CC"/>
                </a:solidFill>
              </a:ln>
            </xdr:spPr>
            <xdr:style>
              <a:lnRef idx="1">
                <a:schemeClr val="accent1"/>
              </a:lnRef>
              <a:fillRef idx="0">
                <a:schemeClr val="accent1"/>
              </a:fillRef>
              <a:effectRef idx="0">
                <a:schemeClr val="accent1"/>
              </a:effectRef>
              <a:fontRef idx="minor">
                <a:schemeClr val="tx1"/>
              </a:fontRef>
            </xdr:style>
          </xdr:cxnSp>
          <xdr:sp macro="" textlink="">
            <xdr:nvSpPr>
              <xdr:cNvPr id="53" name="Ellipse 52">
                <a:extLst>
                  <a:ext uri="{FF2B5EF4-FFF2-40B4-BE49-F238E27FC236}">
                    <a16:creationId xmlns:a16="http://schemas.microsoft.com/office/drawing/2014/main" id="{274CA816-C28B-4946-9C85-81D58888A445}"/>
                  </a:ext>
                </a:extLst>
              </xdr:cNvPr>
              <xdr:cNvSpPr/>
            </xdr:nvSpPr>
            <xdr:spPr>
              <a:xfrm>
                <a:off x="28622625" y="7250906"/>
                <a:ext cx="95250" cy="95250"/>
              </a:xfrm>
              <a:prstGeom prst="ellipse">
                <a:avLst/>
              </a:prstGeom>
              <a:grpFill/>
              <a:ln w="28575">
                <a:solidFill>
                  <a:srgbClr val="CC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nvGrpSpPr>
            <xdr:cNvPr id="47" name="Groupe 46">
              <a:extLst>
                <a:ext uri="{FF2B5EF4-FFF2-40B4-BE49-F238E27FC236}">
                  <a16:creationId xmlns:a16="http://schemas.microsoft.com/office/drawing/2014/main" id="{240D5D00-72FE-4D24-90FA-D49E464149FC}"/>
                </a:ext>
              </a:extLst>
            </xdr:cNvPr>
            <xdr:cNvGrpSpPr/>
          </xdr:nvGrpSpPr>
          <xdr:grpSpPr>
            <a:xfrm>
              <a:off x="15822498" y="12771132"/>
              <a:ext cx="206335" cy="65587"/>
              <a:chOff x="28515469" y="7250906"/>
              <a:chExt cx="297656" cy="95250"/>
            </a:xfrm>
            <a:solidFill>
              <a:schemeClr val="accent6">
                <a:lumMod val="75000"/>
              </a:schemeClr>
            </a:solidFill>
          </xdr:grpSpPr>
          <xdr:cxnSp macro="">
            <xdr:nvCxnSpPr>
              <xdr:cNvPr id="50" name="Connecteur droit 49">
                <a:extLst>
                  <a:ext uri="{FF2B5EF4-FFF2-40B4-BE49-F238E27FC236}">
                    <a16:creationId xmlns:a16="http://schemas.microsoft.com/office/drawing/2014/main" id="{051DDC60-8485-4A11-AAD9-09246F67929C}"/>
                  </a:ext>
                </a:extLst>
              </xdr:cNvPr>
              <xdr:cNvCxnSpPr/>
            </xdr:nvCxnSpPr>
            <xdr:spPr>
              <a:xfrm>
                <a:off x="28515469" y="7298531"/>
                <a:ext cx="297656" cy="0"/>
              </a:xfrm>
              <a:prstGeom prst="line">
                <a:avLst/>
              </a:prstGeom>
              <a:grpFill/>
              <a:ln w="28575" cap="rnd">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51" name="Ellipse 50">
                <a:extLst>
                  <a:ext uri="{FF2B5EF4-FFF2-40B4-BE49-F238E27FC236}">
                    <a16:creationId xmlns:a16="http://schemas.microsoft.com/office/drawing/2014/main" id="{AA438DB0-97D9-4F56-A055-1EBF75425421}"/>
                  </a:ext>
                </a:extLst>
              </xdr:cNvPr>
              <xdr:cNvSpPr/>
            </xdr:nvSpPr>
            <xdr:spPr>
              <a:xfrm>
                <a:off x="28622625" y="7250906"/>
                <a:ext cx="95250" cy="95250"/>
              </a:xfrm>
              <a:prstGeom prst="ellipse">
                <a:avLst/>
              </a:prstGeom>
              <a:grp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48" name="Rectangle 47">
              <a:extLst>
                <a:ext uri="{FF2B5EF4-FFF2-40B4-BE49-F238E27FC236}">
                  <a16:creationId xmlns:a16="http://schemas.microsoft.com/office/drawing/2014/main" id="{367FE181-E5C4-4EAA-AC1E-C764BA3EEB04}"/>
                </a:ext>
              </a:extLst>
            </xdr:cNvPr>
            <xdr:cNvSpPr/>
          </xdr:nvSpPr>
          <xdr:spPr>
            <a:xfrm>
              <a:off x="15679848" y="12571742"/>
              <a:ext cx="110109" cy="109375"/>
            </a:xfrm>
            <a:prstGeom prst="rect">
              <a:avLst/>
            </a:prstGeom>
            <a:solidFill>
              <a:srgbClr val="CC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9" name="Rectangle 48">
              <a:extLst>
                <a:ext uri="{FF2B5EF4-FFF2-40B4-BE49-F238E27FC236}">
                  <a16:creationId xmlns:a16="http://schemas.microsoft.com/office/drawing/2014/main" id="{E8CAB8D4-B373-447E-998F-CB5B00B44389}"/>
                </a:ext>
              </a:extLst>
            </xdr:cNvPr>
            <xdr:cNvSpPr/>
          </xdr:nvSpPr>
          <xdr:spPr>
            <a:xfrm>
              <a:off x="15681162" y="12742482"/>
              <a:ext cx="110109" cy="110410"/>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nvGrpSpPr>
          <xdr:cNvPr id="14" name="Groupe 13">
            <a:extLst>
              <a:ext uri="{FF2B5EF4-FFF2-40B4-BE49-F238E27FC236}">
                <a16:creationId xmlns:a16="http://schemas.microsoft.com/office/drawing/2014/main" id="{43E6779C-2008-4AE2-8345-7179BAEDE17D}"/>
              </a:ext>
            </a:extLst>
          </xdr:cNvPr>
          <xdr:cNvGrpSpPr/>
        </xdr:nvGrpSpPr>
        <xdr:grpSpPr>
          <a:xfrm>
            <a:off x="7325091" y="4395258"/>
            <a:ext cx="2899622" cy="688440"/>
            <a:chOff x="12315496" y="12450028"/>
            <a:chExt cx="2822762" cy="674765"/>
          </a:xfrm>
        </xdr:grpSpPr>
        <xdr:grpSp>
          <xdr:nvGrpSpPr>
            <xdr:cNvPr id="30" name="Groupe 29">
              <a:extLst>
                <a:ext uri="{FF2B5EF4-FFF2-40B4-BE49-F238E27FC236}">
                  <a16:creationId xmlns:a16="http://schemas.microsoft.com/office/drawing/2014/main" id="{A2E5D645-59E1-4E23-8E6D-3937843F9B54}"/>
                </a:ext>
              </a:extLst>
            </xdr:cNvPr>
            <xdr:cNvGrpSpPr/>
          </xdr:nvGrpSpPr>
          <xdr:grpSpPr>
            <a:xfrm>
              <a:off x="12472584" y="12740889"/>
              <a:ext cx="206335" cy="65587"/>
              <a:chOff x="28515469" y="7250906"/>
              <a:chExt cx="297656" cy="95250"/>
            </a:xfrm>
            <a:solidFill>
              <a:srgbClr val="0070C0"/>
            </a:solidFill>
          </xdr:grpSpPr>
          <xdr:cxnSp macro="">
            <xdr:nvCxnSpPr>
              <xdr:cNvPr id="41" name="Connecteur droit 40">
                <a:extLst>
                  <a:ext uri="{FF2B5EF4-FFF2-40B4-BE49-F238E27FC236}">
                    <a16:creationId xmlns:a16="http://schemas.microsoft.com/office/drawing/2014/main" id="{DAE54906-FF6C-414E-8984-D36B38A43FAD}"/>
                  </a:ext>
                </a:extLst>
              </xdr:cNvPr>
              <xdr:cNvCxnSpPr/>
            </xdr:nvCxnSpPr>
            <xdr:spPr>
              <a:xfrm>
                <a:off x="28515469" y="7298531"/>
                <a:ext cx="297656" cy="0"/>
              </a:xfrm>
              <a:prstGeom prst="line">
                <a:avLst/>
              </a:prstGeom>
              <a:grpFill/>
              <a:ln w="28575" cap="rnd">
                <a:solidFill>
                  <a:srgbClr val="0070C0"/>
                </a:solidFill>
              </a:ln>
            </xdr:spPr>
            <xdr:style>
              <a:lnRef idx="1">
                <a:schemeClr val="accent1"/>
              </a:lnRef>
              <a:fillRef idx="0">
                <a:schemeClr val="accent1"/>
              </a:fillRef>
              <a:effectRef idx="0">
                <a:schemeClr val="accent1"/>
              </a:effectRef>
              <a:fontRef idx="minor">
                <a:schemeClr val="tx1"/>
              </a:fontRef>
            </xdr:style>
          </xdr:cxnSp>
          <xdr:sp macro="" textlink="">
            <xdr:nvSpPr>
              <xdr:cNvPr id="42" name="Ellipse 41">
                <a:extLst>
                  <a:ext uri="{FF2B5EF4-FFF2-40B4-BE49-F238E27FC236}">
                    <a16:creationId xmlns:a16="http://schemas.microsoft.com/office/drawing/2014/main" id="{4B49B9A4-8BB4-4561-953F-804C61785F59}"/>
                  </a:ext>
                </a:extLst>
              </xdr:cNvPr>
              <xdr:cNvSpPr/>
            </xdr:nvSpPr>
            <xdr:spPr>
              <a:xfrm>
                <a:off x="28622625" y="7250906"/>
                <a:ext cx="95250" cy="95250"/>
              </a:xfrm>
              <a:prstGeom prst="ellipse">
                <a:avLst/>
              </a:prstGeom>
              <a:grp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31" name="Rectangle 30">
              <a:extLst>
                <a:ext uri="{FF2B5EF4-FFF2-40B4-BE49-F238E27FC236}">
                  <a16:creationId xmlns:a16="http://schemas.microsoft.com/office/drawing/2014/main" id="{4EDA6B52-267C-4DEC-BF66-C7414316D21B}"/>
                </a:ext>
              </a:extLst>
            </xdr:cNvPr>
            <xdr:cNvSpPr/>
          </xdr:nvSpPr>
          <xdr:spPr>
            <a:xfrm>
              <a:off x="12321534" y="12714303"/>
              <a:ext cx="110109" cy="10937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2" name="ZoneTexte 31">
              <a:extLst>
                <a:ext uri="{FF2B5EF4-FFF2-40B4-BE49-F238E27FC236}">
                  <a16:creationId xmlns:a16="http://schemas.microsoft.com/office/drawing/2014/main" id="{0B52E68A-DFA4-4816-9429-E392297A7A23}"/>
                </a:ext>
              </a:extLst>
            </xdr:cNvPr>
            <xdr:cNvSpPr txBox="1"/>
          </xdr:nvSpPr>
          <xdr:spPr>
            <a:xfrm>
              <a:off x="12641587" y="12450028"/>
              <a:ext cx="2496671" cy="674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Phytos</a:t>
              </a:r>
            </a:p>
            <a:p>
              <a:r>
                <a:rPr lang="fr-FR" sz="1200"/>
                <a:t>Irrigation (énergie</a:t>
              </a:r>
              <a:r>
                <a:rPr lang="fr-FR" sz="1200" baseline="0"/>
                <a:t> + redevence)</a:t>
              </a: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dk1"/>
                  </a:solidFill>
                  <a:effectLst/>
                  <a:latin typeface="+mn-lt"/>
                  <a:ea typeface="+mn-ea"/>
                  <a:cs typeface="+mn-cs"/>
                </a:rPr>
                <a:t>Autres intrants</a:t>
              </a:r>
              <a:endParaRPr lang="fr-FR" sz="1200">
                <a:effectLst/>
              </a:endParaRPr>
            </a:p>
          </xdr:txBody>
        </xdr:sp>
        <xdr:grpSp>
          <xdr:nvGrpSpPr>
            <xdr:cNvPr id="33" name="Groupe 32">
              <a:extLst>
                <a:ext uri="{FF2B5EF4-FFF2-40B4-BE49-F238E27FC236}">
                  <a16:creationId xmlns:a16="http://schemas.microsoft.com/office/drawing/2014/main" id="{809C4C16-E8B2-4D94-A4B7-A66A21E476A4}"/>
                </a:ext>
              </a:extLst>
            </xdr:cNvPr>
            <xdr:cNvGrpSpPr/>
          </xdr:nvGrpSpPr>
          <xdr:grpSpPr>
            <a:xfrm>
              <a:off x="12473213" y="12554330"/>
              <a:ext cx="206335" cy="65587"/>
              <a:chOff x="28515469" y="7250906"/>
              <a:chExt cx="297656" cy="95250"/>
            </a:xfrm>
            <a:solidFill>
              <a:srgbClr val="00B0F0"/>
            </a:solidFill>
          </xdr:grpSpPr>
          <xdr:cxnSp macro="">
            <xdr:nvCxnSpPr>
              <xdr:cNvPr id="39" name="Connecteur droit 38">
                <a:extLst>
                  <a:ext uri="{FF2B5EF4-FFF2-40B4-BE49-F238E27FC236}">
                    <a16:creationId xmlns:a16="http://schemas.microsoft.com/office/drawing/2014/main" id="{EDBD7935-73F5-475B-9282-C24357953371}"/>
                  </a:ext>
                </a:extLst>
              </xdr:cNvPr>
              <xdr:cNvCxnSpPr/>
            </xdr:nvCxnSpPr>
            <xdr:spPr>
              <a:xfrm>
                <a:off x="28515469" y="7298531"/>
                <a:ext cx="297656" cy="0"/>
              </a:xfrm>
              <a:prstGeom prst="line">
                <a:avLst/>
              </a:prstGeom>
              <a:grpFill/>
              <a:ln w="28575" cap="rnd">
                <a:solidFill>
                  <a:srgbClr val="00B0F0"/>
                </a:solidFill>
              </a:ln>
            </xdr:spPr>
            <xdr:style>
              <a:lnRef idx="1">
                <a:schemeClr val="accent1"/>
              </a:lnRef>
              <a:fillRef idx="0">
                <a:schemeClr val="accent1"/>
              </a:fillRef>
              <a:effectRef idx="0">
                <a:schemeClr val="accent1"/>
              </a:effectRef>
              <a:fontRef idx="minor">
                <a:schemeClr val="tx1"/>
              </a:fontRef>
            </xdr:style>
          </xdr:cxnSp>
          <xdr:sp macro="" textlink="">
            <xdr:nvSpPr>
              <xdr:cNvPr id="40" name="Ellipse 39">
                <a:extLst>
                  <a:ext uri="{FF2B5EF4-FFF2-40B4-BE49-F238E27FC236}">
                    <a16:creationId xmlns:a16="http://schemas.microsoft.com/office/drawing/2014/main" id="{A1446E0F-E755-4E83-A029-8C8E4DC68CF6}"/>
                  </a:ext>
                </a:extLst>
              </xdr:cNvPr>
              <xdr:cNvSpPr/>
            </xdr:nvSpPr>
            <xdr:spPr>
              <a:xfrm>
                <a:off x="28622625" y="7250906"/>
                <a:ext cx="95250" cy="95250"/>
              </a:xfrm>
              <a:prstGeom prst="ellipse">
                <a:avLst/>
              </a:prstGeom>
              <a:grp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34" name="Rectangle 33">
              <a:extLst>
                <a:ext uri="{FF2B5EF4-FFF2-40B4-BE49-F238E27FC236}">
                  <a16:creationId xmlns:a16="http://schemas.microsoft.com/office/drawing/2014/main" id="{BED51D7E-6FFC-4DAD-8874-0604AE64EF01}"/>
                </a:ext>
              </a:extLst>
            </xdr:cNvPr>
            <xdr:cNvSpPr/>
          </xdr:nvSpPr>
          <xdr:spPr>
            <a:xfrm>
              <a:off x="12315496" y="12537435"/>
              <a:ext cx="110109" cy="109375"/>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35" name="Groupe 34">
              <a:extLst>
                <a:ext uri="{FF2B5EF4-FFF2-40B4-BE49-F238E27FC236}">
                  <a16:creationId xmlns:a16="http://schemas.microsoft.com/office/drawing/2014/main" id="{EE581078-6645-4584-8871-B373967E1362}"/>
                </a:ext>
              </a:extLst>
            </xdr:cNvPr>
            <xdr:cNvGrpSpPr/>
          </xdr:nvGrpSpPr>
          <xdr:grpSpPr>
            <a:xfrm>
              <a:off x="12467878" y="12936184"/>
              <a:ext cx="209608" cy="65587"/>
              <a:chOff x="12624408" y="13678293"/>
              <a:chExt cx="302378" cy="94615"/>
            </a:xfrm>
          </xdr:grpSpPr>
          <xdr:cxnSp macro="">
            <xdr:nvCxnSpPr>
              <xdr:cNvPr id="37" name="Connecteur droit 36">
                <a:extLst>
                  <a:ext uri="{FF2B5EF4-FFF2-40B4-BE49-F238E27FC236}">
                    <a16:creationId xmlns:a16="http://schemas.microsoft.com/office/drawing/2014/main" id="{7BF4C6DB-706F-400A-9DA0-0735A8839CF1}"/>
                  </a:ext>
                </a:extLst>
              </xdr:cNvPr>
              <xdr:cNvCxnSpPr/>
            </xdr:nvCxnSpPr>
            <xdr:spPr>
              <a:xfrm>
                <a:off x="12624408" y="13720157"/>
                <a:ext cx="302378" cy="1285"/>
              </a:xfrm>
              <a:prstGeom prst="line">
                <a:avLst/>
              </a:prstGeom>
              <a:solidFill>
                <a:srgbClr val="CC9900"/>
              </a:solidFill>
              <a:ln w="28575" cap="rnd">
                <a:solidFill>
                  <a:srgbClr val="FFC000"/>
                </a:solidFill>
              </a:ln>
            </xdr:spPr>
            <xdr:style>
              <a:lnRef idx="1">
                <a:schemeClr val="accent1"/>
              </a:lnRef>
              <a:fillRef idx="0">
                <a:schemeClr val="accent1"/>
              </a:fillRef>
              <a:effectRef idx="0">
                <a:schemeClr val="accent1"/>
              </a:effectRef>
              <a:fontRef idx="minor">
                <a:schemeClr val="tx1"/>
              </a:fontRef>
            </xdr:style>
          </xdr:cxnSp>
          <xdr:sp macro="" textlink="">
            <xdr:nvSpPr>
              <xdr:cNvPr id="38" name="Ellipse 37">
                <a:extLst>
                  <a:ext uri="{FF2B5EF4-FFF2-40B4-BE49-F238E27FC236}">
                    <a16:creationId xmlns:a16="http://schemas.microsoft.com/office/drawing/2014/main" id="{45A48BDD-9E38-4140-85CD-10533E61DE90}"/>
                  </a:ext>
                </a:extLst>
              </xdr:cNvPr>
              <xdr:cNvSpPr/>
            </xdr:nvSpPr>
            <xdr:spPr>
              <a:xfrm>
                <a:off x="12731564" y="13678293"/>
                <a:ext cx="95250" cy="94615"/>
              </a:xfrm>
              <a:prstGeom prst="ellipse">
                <a:avLst/>
              </a:prstGeom>
              <a:solidFill>
                <a:srgbClr val="FFC000"/>
              </a:solid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36" name="Rectangle 35">
              <a:extLst>
                <a:ext uri="{FF2B5EF4-FFF2-40B4-BE49-F238E27FC236}">
                  <a16:creationId xmlns:a16="http://schemas.microsoft.com/office/drawing/2014/main" id="{E24BA927-24CA-4570-9587-7F7AE8C2496B}"/>
                </a:ext>
              </a:extLst>
            </xdr:cNvPr>
            <xdr:cNvSpPr/>
          </xdr:nvSpPr>
          <xdr:spPr>
            <a:xfrm>
              <a:off x="12320675" y="12911139"/>
              <a:ext cx="110109" cy="109375"/>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nvGrpSpPr>
          <xdr:cNvPr id="16" name="Groupe 15">
            <a:extLst>
              <a:ext uri="{FF2B5EF4-FFF2-40B4-BE49-F238E27FC236}">
                <a16:creationId xmlns:a16="http://schemas.microsoft.com/office/drawing/2014/main" id="{D6988369-C60C-4BF9-A411-8939B9F5F371}"/>
              </a:ext>
            </a:extLst>
          </xdr:cNvPr>
          <xdr:cNvGrpSpPr/>
        </xdr:nvGrpSpPr>
        <xdr:grpSpPr>
          <a:xfrm>
            <a:off x="7346537" y="5018223"/>
            <a:ext cx="1912256" cy="690316"/>
            <a:chOff x="12320828" y="13013120"/>
            <a:chExt cx="1861568" cy="676603"/>
          </a:xfrm>
        </xdr:grpSpPr>
        <xdr:grpSp>
          <xdr:nvGrpSpPr>
            <xdr:cNvPr id="17" name="Groupe 16">
              <a:extLst>
                <a:ext uri="{FF2B5EF4-FFF2-40B4-BE49-F238E27FC236}">
                  <a16:creationId xmlns:a16="http://schemas.microsoft.com/office/drawing/2014/main" id="{5F9EFEDA-2BA9-40E1-8519-9C206F7BE37F}"/>
                </a:ext>
              </a:extLst>
            </xdr:cNvPr>
            <xdr:cNvGrpSpPr/>
          </xdr:nvGrpSpPr>
          <xdr:grpSpPr>
            <a:xfrm>
              <a:off x="12468261" y="13112744"/>
              <a:ext cx="206335" cy="65587"/>
              <a:chOff x="28515469" y="7250906"/>
              <a:chExt cx="297656" cy="95250"/>
            </a:xfrm>
            <a:solidFill>
              <a:srgbClr val="CC9900"/>
            </a:solidFill>
          </xdr:grpSpPr>
          <xdr:cxnSp macro="">
            <xdr:nvCxnSpPr>
              <xdr:cNvPr id="28" name="Connecteur droit 27">
                <a:extLst>
                  <a:ext uri="{FF2B5EF4-FFF2-40B4-BE49-F238E27FC236}">
                    <a16:creationId xmlns:a16="http://schemas.microsoft.com/office/drawing/2014/main" id="{9CFED38B-7BBC-4BCD-8F46-73B4E8CE40B7}"/>
                  </a:ext>
                </a:extLst>
              </xdr:cNvPr>
              <xdr:cNvCxnSpPr/>
            </xdr:nvCxnSpPr>
            <xdr:spPr>
              <a:xfrm>
                <a:off x="28515469" y="7298531"/>
                <a:ext cx="297656" cy="0"/>
              </a:xfrm>
              <a:prstGeom prst="line">
                <a:avLst/>
              </a:prstGeom>
              <a:grpFill/>
              <a:ln w="28575" cap="rnd">
                <a:solidFill>
                  <a:srgbClr val="CC9900"/>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Ellipse 28">
                <a:extLst>
                  <a:ext uri="{FF2B5EF4-FFF2-40B4-BE49-F238E27FC236}">
                    <a16:creationId xmlns:a16="http://schemas.microsoft.com/office/drawing/2014/main" id="{CF6225CE-2D26-450D-B5E0-AF05241D1B97}"/>
                  </a:ext>
                </a:extLst>
              </xdr:cNvPr>
              <xdr:cNvSpPr/>
            </xdr:nvSpPr>
            <xdr:spPr>
              <a:xfrm>
                <a:off x="28622625" y="7250906"/>
                <a:ext cx="95250" cy="95250"/>
              </a:xfrm>
              <a:prstGeom prst="ellipse">
                <a:avLst/>
              </a:prstGeom>
              <a:grpFill/>
              <a:ln w="28575">
                <a:solidFill>
                  <a:srgbClr val="CC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18" name="Rectangle 17">
              <a:extLst>
                <a:ext uri="{FF2B5EF4-FFF2-40B4-BE49-F238E27FC236}">
                  <a16:creationId xmlns:a16="http://schemas.microsoft.com/office/drawing/2014/main" id="{71AE72C0-4B44-4601-AA4C-26F02A8BD551}"/>
                </a:ext>
              </a:extLst>
            </xdr:cNvPr>
            <xdr:cNvSpPr/>
          </xdr:nvSpPr>
          <xdr:spPr>
            <a:xfrm>
              <a:off x="12321058" y="13087699"/>
              <a:ext cx="110109" cy="109375"/>
            </a:xfrm>
            <a:prstGeom prst="rect">
              <a:avLst/>
            </a:prstGeom>
            <a:solidFill>
              <a:srgbClr val="CC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19" name="Groupe 18">
              <a:extLst>
                <a:ext uri="{FF2B5EF4-FFF2-40B4-BE49-F238E27FC236}">
                  <a16:creationId xmlns:a16="http://schemas.microsoft.com/office/drawing/2014/main" id="{BD827711-DD84-4FBA-95F1-B88CAB263C90}"/>
                </a:ext>
              </a:extLst>
            </xdr:cNvPr>
            <xdr:cNvGrpSpPr/>
          </xdr:nvGrpSpPr>
          <xdr:grpSpPr>
            <a:xfrm>
              <a:off x="12476202" y="13498477"/>
              <a:ext cx="206335" cy="65587"/>
              <a:chOff x="28515469" y="7250906"/>
              <a:chExt cx="297656" cy="95250"/>
            </a:xfrm>
            <a:solidFill>
              <a:srgbClr val="7030A0"/>
            </a:solidFill>
          </xdr:grpSpPr>
          <xdr:cxnSp macro="">
            <xdr:nvCxnSpPr>
              <xdr:cNvPr id="26" name="Connecteur droit 25">
                <a:extLst>
                  <a:ext uri="{FF2B5EF4-FFF2-40B4-BE49-F238E27FC236}">
                    <a16:creationId xmlns:a16="http://schemas.microsoft.com/office/drawing/2014/main" id="{9F8342DE-1462-43A5-91EE-2F5768379EA4}"/>
                  </a:ext>
                </a:extLst>
              </xdr:cNvPr>
              <xdr:cNvCxnSpPr/>
            </xdr:nvCxnSpPr>
            <xdr:spPr>
              <a:xfrm>
                <a:off x="28515469" y="7298531"/>
                <a:ext cx="297656" cy="0"/>
              </a:xfrm>
              <a:prstGeom prst="line">
                <a:avLst/>
              </a:prstGeom>
              <a:grpFill/>
              <a:ln w="28575" cap="rnd">
                <a:solidFill>
                  <a:srgbClr val="7030A0"/>
                </a:solidFill>
              </a:ln>
            </xdr:spPr>
            <xdr:style>
              <a:lnRef idx="1">
                <a:schemeClr val="accent1"/>
              </a:lnRef>
              <a:fillRef idx="0">
                <a:schemeClr val="accent1"/>
              </a:fillRef>
              <a:effectRef idx="0">
                <a:schemeClr val="accent1"/>
              </a:effectRef>
              <a:fontRef idx="minor">
                <a:schemeClr val="tx1"/>
              </a:fontRef>
            </xdr:style>
          </xdr:cxnSp>
          <xdr:sp macro="" textlink="">
            <xdr:nvSpPr>
              <xdr:cNvPr id="27" name="Ellipse 26">
                <a:extLst>
                  <a:ext uri="{FF2B5EF4-FFF2-40B4-BE49-F238E27FC236}">
                    <a16:creationId xmlns:a16="http://schemas.microsoft.com/office/drawing/2014/main" id="{70E98962-0B33-4DB7-A7AB-00834F5D6609}"/>
                  </a:ext>
                </a:extLst>
              </xdr:cNvPr>
              <xdr:cNvSpPr/>
            </xdr:nvSpPr>
            <xdr:spPr>
              <a:xfrm>
                <a:off x="28622625" y="7250906"/>
                <a:ext cx="95250" cy="95250"/>
              </a:xfrm>
              <a:prstGeom prst="ellipse">
                <a:avLst/>
              </a:prstGeom>
              <a:grp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20" name="Rectangle 19">
              <a:extLst>
                <a:ext uri="{FF2B5EF4-FFF2-40B4-BE49-F238E27FC236}">
                  <a16:creationId xmlns:a16="http://schemas.microsoft.com/office/drawing/2014/main" id="{58808397-F02F-4064-95C7-08829A55F700}"/>
                </a:ext>
              </a:extLst>
            </xdr:cNvPr>
            <xdr:cNvSpPr/>
          </xdr:nvSpPr>
          <xdr:spPr>
            <a:xfrm>
              <a:off x="12326278" y="13468403"/>
              <a:ext cx="110109" cy="109375"/>
            </a:xfrm>
            <a:prstGeom prst="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21" name="Groupe 20">
              <a:extLst>
                <a:ext uri="{FF2B5EF4-FFF2-40B4-BE49-F238E27FC236}">
                  <a16:creationId xmlns:a16="http://schemas.microsoft.com/office/drawing/2014/main" id="{4CA01D85-5243-4687-908C-D3FC185EF685}"/>
                </a:ext>
              </a:extLst>
            </xdr:cNvPr>
            <xdr:cNvGrpSpPr/>
          </xdr:nvGrpSpPr>
          <xdr:grpSpPr>
            <a:xfrm>
              <a:off x="12470284" y="13296867"/>
              <a:ext cx="208722" cy="65587"/>
              <a:chOff x="12620244" y="13907596"/>
              <a:chExt cx="301099" cy="94615"/>
            </a:xfrm>
          </xdr:grpSpPr>
          <xdr:cxnSp macro="">
            <xdr:nvCxnSpPr>
              <xdr:cNvPr id="24" name="Connecteur droit 23">
                <a:extLst>
                  <a:ext uri="{FF2B5EF4-FFF2-40B4-BE49-F238E27FC236}">
                    <a16:creationId xmlns:a16="http://schemas.microsoft.com/office/drawing/2014/main" id="{6093DBD1-0BB4-4BCA-B488-47F26A1CAF2D}"/>
                  </a:ext>
                </a:extLst>
              </xdr:cNvPr>
              <xdr:cNvCxnSpPr/>
            </xdr:nvCxnSpPr>
            <xdr:spPr>
              <a:xfrm>
                <a:off x="12620244" y="13960345"/>
                <a:ext cx="301099" cy="6026"/>
              </a:xfrm>
              <a:prstGeom prst="line">
                <a:avLst/>
              </a:prstGeom>
              <a:solidFill>
                <a:srgbClr val="CC9900"/>
              </a:solidFill>
              <a:ln w="28575" cap="rnd">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5" name="Ellipse 24">
                <a:extLst>
                  <a:ext uri="{FF2B5EF4-FFF2-40B4-BE49-F238E27FC236}">
                    <a16:creationId xmlns:a16="http://schemas.microsoft.com/office/drawing/2014/main" id="{94E49972-AE32-4AD8-B2C3-6DCA9BFC3D04}"/>
                  </a:ext>
                </a:extLst>
              </xdr:cNvPr>
              <xdr:cNvSpPr/>
            </xdr:nvSpPr>
            <xdr:spPr>
              <a:xfrm>
                <a:off x="12709857" y="13907596"/>
                <a:ext cx="95249" cy="94615"/>
              </a:xfrm>
              <a:prstGeom prst="ellipse">
                <a:avLst/>
              </a:prstGeom>
              <a:solidFill>
                <a:schemeClr val="accent6">
                  <a:lumMod val="50000"/>
                </a:schemeClr>
              </a:solidFill>
              <a:ln w="28575">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22" name="Rectangle 21">
              <a:extLst>
                <a:ext uri="{FF2B5EF4-FFF2-40B4-BE49-F238E27FC236}">
                  <a16:creationId xmlns:a16="http://schemas.microsoft.com/office/drawing/2014/main" id="{05A744D6-0383-429D-BB80-82D20280C33A}"/>
                </a:ext>
              </a:extLst>
            </xdr:cNvPr>
            <xdr:cNvSpPr/>
          </xdr:nvSpPr>
          <xdr:spPr>
            <a:xfrm>
              <a:off x="12320828" y="13271822"/>
              <a:ext cx="110109" cy="109375"/>
            </a:xfrm>
            <a:prstGeom prst="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3" name="ZoneTexte 22">
              <a:extLst>
                <a:ext uri="{FF2B5EF4-FFF2-40B4-BE49-F238E27FC236}">
                  <a16:creationId xmlns:a16="http://schemas.microsoft.com/office/drawing/2014/main" id="{22D7650E-381B-4686-9109-D3EE3C5A4D75}"/>
                </a:ext>
              </a:extLst>
            </xdr:cNvPr>
            <xdr:cNvSpPr txBox="1"/>
          </xdr:nvSpPr>
          <xdr:spPr>
            <a:xfrm>
              <a:off x="12632120" y="13013120"/>
              <a:ext cx="1550276" cy="676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fr-FR" sz="1200">
                  <a:solidFill>
                    <a:schemeClr val="dk1"/>
                  </a:solidFill>
                  <a:latin typeface="+mn-lt"/>
                  <a:ea typeface="+mn-ea"/>
                  <a:cs typeface="+mn-cs"/>
                </a:rPr>
                <a:t>Séchage</a:t>
              </a:r>
            </a:p>
            <a:p>
              <a:pPr marL="0" indent="0"/>
              <a:r>
                <a:rPr lang="fr-FR" sz="1200">
                  <a:solidFill>
                    <a:schemeClr val="dk1"/>
                  </a:solidFill>
                  <a:latin typeface="+mn-lt"/>
                  <a:ea typeface="+mn-ea"/>
                  <a:cs typeface="+mn-cs"/>
                </a:rPr>
                <a:t>Stockage (énergie)</a:t>
              </a:r>
            </a:p>
            <a:p>
              <a:pPr marL="0" indent="0"/>
              <a:r>
                <a:rPr lang="fr-FR" sz="1200">
                  <a:solidFill>
                    <a:schemeClr val="dk1"/>
                  </a:solidFill>
                  <a:latin typeface="+mn-lt"/>
                  <a:ea typeface="+mn-ea"/>
                  <a:cs typeface="+mn-cs"/>
                </a:rPr>
                <a:t>Carburant</a:t>
              </a:r>
            </a:p>
            <a:p>
              <a:pPr marL="0" indent="0"/>
              <a:endParaRPr lang="fr-FR" sz="1200">
                <a:solidFill>
                  <a:schemeClr val="dk1"/>
                </a:solidFill>
                <a:latin typeface="+mn-lt"/>
                <a:ea typeface="+mn-ea"/>
                <a:cs typeface="+mn-cs"/>
              </a:endParaRPr>
            </a:p>
          </xdr:txBody>
        </xdr:sp>
      </xdr:grpSp>
    </xdr:grpSp>
    <xdr:clientData/>
  </xdr:twoCellAnchor>
  <xdr:twoCellAnchor editAs="oneCell">
    <xdr:from>
      <xdr:col>0</xdr:col>
      <xdr:colOff>0</xdr:colOff>
      <xdr:row>4</xdr:row>
      <xdr:rowOff>94012</xdr:rowOff>
    </xdr:from>
    <xdr:to>
      <xdr:col>33</xdr:col>
      <xdr:colOff>145700</xdr:colOff>
      <xdr:row>13</xdr:row>
      <xdr:rowOff>96051</xdr:rowOff>
    </xdr:to>
    <xdr:sp macro="" textlink="">
      <xdr:nvSpPr>
        <xdr:cNvPr id="85" name="ZoneTexte 84">
          <a:extLst>
            <a:ext uri="{FF2B5EF4-FFF2-40B4-BE49-F238E27FC236}">
              <a16:creationId xmlns:a16="http://schemas.microsoft.com/office/drawing/2014/main" id="{11812551-937F-4FB6-9F9F-44EDCA18AA69}"/>
            </a:ext>
          </a:extLst>
        </xdr:cNvPr>
        <xdr:cNvSpPr txBox="1"/>
      </xdr:nvSpPr>
      <xdr:spPr>
        <a:xfrm>
          <a:off x="0" y="910441"/>
          <a:ext cx="9697914" cy="1839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600" b="1"/>
            <a:t>ImpactCoutProduction</a:t>
          </a:r>
        </a:p>
        <a:p>
          <a:pPr algn="ctr"/>
          <a:endParaRPr lang="fr-FR" sz="1600" b="1"/>
        </a:p>
        <a:p>
          <a:pPr algn="ctr"/>
          <a:r>
            <a:rPr lang="fr-FR" sz="2600" b="1"/>
            <a:t>Pour vous situer, estimez rapidement les variations de vos charges en fonction de l'évolution du prix des intrants, de l'énergie…</a:t>
          </a:r>
        </a:p>
      </xdr:txBody>
    </xdr:sp>
    <xdr:clientData/>
  </xdr:twoCellAnchor>
  <xdr:twoCellAnchor editAs="oneCell">
    <xdr:from>
      <xdr:col>32</xdr:col>
      <xdr:colOff>272756</xdr:colOff>
      <xdr:row>0</xdr:row>
      <xdr:rowOff>38100</xdr:rowOff>
    </xdr:from>
    <xdr:to>
      <xdr:col>47</xdr:col>
      <xdr:colOff>108857</xdr:colOff>
      <xdr:row>12</xdr:row>
      <xdr:rowOff>119743</xdr:rowOff>
    </xdr:to>
    <xdr:sp macro="" textlink="">
      <xdr:nvSpPr>
        <xdr:cNvPr id="93" name="ZoneTexte 92">
          <a:extLst>
            <a:ext uri="{FF2B5EF4-FFF2-40B4-BE49-F238E27FC236}">
              <a16:creationId xmlns:a16="http://schemas.microsoft.com/office/drawing/2014/main" id="{3EFDB26F-A847-4A9B-B371-2F0BEBEA809B}"/>
            </a:ext>
          </a:extLst>
        </xdr:cNvPr>
        <xdr:cNvSpPr txBox="1"/>
      </xdr:nvSpPr>
      <xdr:spPr>
        <a:xfrm>
          <a:off x="9540581" y="38100"/>
          <a:ext cx="4122351" cy="2481943"/>
        </a:xfrm>
        <a:prstGeom prst="rect">
          <a:avLst/>
        </a:prstGeom>
        <a:solidFill>
          <a:schemeClr val="lt1"/>
        </a:solidFill>
        <a:ln w="63500" cmpd="thickThin">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i="1">
              <a:solidFill>
                <a:schemeClr val="dk1"/>
              </a:solidFill>
              <a:effectLst/>
              <a:latin typeface="+mn-lt"/>
              <a:ea typeface="+mn-ea"/>
              <a:cs typeface="+mn-cs"/>
            </a:rPr>
            <a:t>ARVALIS - Institut du végétal décline toute responsabilité :</a:t>
          </a:r>
        </a:p>
        <a:p>
          <a:r>
            <a:rPr lang="fr-FR" sz="900" b="1" i="1">
              <a:solidFill>
                <a:schemeClr val="dk1"/>
              </a:solidFill>
              <a:effectLst/>
              <a:latin typeface="+mn-lt"/>
              <a:ea typeface="+mn-ea"/>
              <a:cs typeface="+mn-cs"/>
            </a:rPr>
            <a:t>- pour toute imprécision, inexactitude ou omission portant sur des informations disponibles. </a:t>
          </a:r>
        </a:p>
        <a:p>
          <a:r>
            <a:rPr lang="fr-FR" sz="900" b="1" i="1">
              <a:solidFill>
                <a:schemeClr val="dk1"/>
              </a:solidFill>
              <a:effectLst/>
              <a:latin typeface="+mn-lt"/>
              <a:ea typeface="+mn-ea"/>
              <a:cs typeface="+mn-cs"/>
            </a:rPr>
            <a:t> - pour tout résultat qui pourrait être obtenu par l'usage des informations disponibles.</a:t>
          </a:r>
        </a:p>
        <a:p>
          <a:r>
            <a:rPr lang="fr-FR" sz="900" b="1" i="1">
              <a:solidFill>
                <a:schemeClr val="dk1"/>
              </a:solidFill>
              <a:effectLst/>
              <a:latin typeface="+mn-lt"/>
              <a:ea typeface="+mn-ea"/>
              <a:cs typeface="+mn-cs"/>
            </a:rPr>
            <a:t>- pour tous dommages résultant d'une intrusion frauduleuse d'un tiers, ayant entraîné une modification des informations ou éléments mis à disposition.</a:t>
          </a:r>
        </a:p>
        <a:p>
          <a:r>
            <a:rPr lang="fr-FR" sz="900" b="1" i="1">
              <a:solidFill>
                <a:schemeClr val="dk1"/>
              </a:solidFill>
              <a:effectLst/>
              <a:latin typeface="+mn-lt"/>
              <a:ea typeface="+mn-ea"/>
              <a:cs typeface="+mn-cs"/>
            </a:rPr>
            <a:t>- et plus généralement pour tous dommages, directs ou indirects, quelles qu'en soient les causes, origines, natures ou conséquences, quand bien même ARVALIS - Institut du végétal aurait été avisée de la possibilité de tels dommages, provoqués à raison (i) de l'accès de quiconque aux informations ou de l'impossibilité d'y accéder, (ii) de l'utilisation des informations, incluant toutes détériorations ou virus qui pourraient infecter votre équipement informatique ou tout autre bien, et/ou (iii) du crédit accordé à une quelconque information provenant directement ou indirectement de l’outil</a:t>
          </a:r>
          <a:r>
            <a:rPr lang="fr-FR" sz="900" b="1" i="1" baseline="0">
              <a:solidFill>
                <a:schemeClr val="dk1"/>
              </a:solidFill>
              <a:effectLst/>
              <a:latin typeface="+mn-lt"/>
              <a:ea typeface="+mn-ea"/>
              <a:cs typeface="+mn-cs"/>
            </a:rPr>
            <a:t> "</a:t>
          </a:r>
          <a:r>
            <a:rPr lang="fr-FR" sz="900" b="1" i="1" u="sng">
              <a:solidFill>
                <a:sysClr val="windowText" lastClr="000000"/>
              </a:solidFill>
              <a:effectLst/>
              <a:latin typeface="+mn-lt"/>
              <a:ea typeface="+mn-ea"/>
              <a:cs typeface="+mn-cs"/>
            </a:rPr>
            <a:t>ImpactCoutProduction</a:t>
          </a:r>
          <a:r>
            <a:rPr lang="fr-FR" sz="900" b="1" i="1" u="none">
              <a:solidFill>
                <a:schemeClr val="dk1"/>
              </a:solidFill>
              <a:effectLst/>
              <a:latin typeface="+mn-lt"/>
              <a:ea typeface="+mn-ea"/>
              <a:cs typeface="+mn-cs"/>
            </a:rPr>
            <a:t>"</a:t>
          </a:r>
          <a:r>
            <a:rPr lang="fr-FR" sz="900" b="1" i="1">
              <a:solidFill>
                <a:schemeClr val="dk1"/>
              </a:solidFill>
              <a:effectLst/>
              <a:latin typeface="+mn-lt"/>
              <a:ea typeface="+mn-ea"/>
              <a:cs typeface="+mn-cs"/>
            </a:rPr>
            <a:t>.</a:t>
          </a:r>
        </a:p>
        <a:p>
          <a:r>
            <a:rPr lang="fr-FR" sz="1000" b="1" i="1">
              <a:solidFill>
                <a:schemeClr val="dk1"/>
              </a:solidFill>
              <a:effectLst/>
              <a:latin typeface="+mn-lt"/>
              <a:ea typeface="+mn-ea"/>
              <a:cs typeface="+mn-cs"/>
            </a:rPr>
            <a:t>Pour toute question, veuillez vous référer à l'onglet 'PRISE EN MAIN'</a:t>
          </a:r>
        </a:p>
        <a:p>
          <a:r>
            <a:rPr lang="fr-FR" sz="900" i="1">
              <a:solidFill>
                <a:schemeClr val="dk1"/>
              </a:solidFill>
              <a:effectLst/>
              <a:latin typeface="+mn-lt"/>
              <a:ea typeface="+mn-ea"/>
              <a:cs typeface="+mn-cs"/>
            </a:rPr>
            <a:t> </a:t>
          </a:r>
        </a:p>
        <a:p>
          <a:endParaRPr lang="fr-FR" sz="900" i="1"/>
        </a:p>
      </xdr:txBody>
    </xdr:sp>
    <xdr:clientData/>
  </xdr:twoCellAnchor>
  <xdr:twoCellAnchor>
    <xdr:from>
      <xdr:col>6</xdr:col>
      <xdr:colOff>76200</xdr:colOff>
      <xdr:row>0</xdr:row>
      <xdr:rowOff>142875</xdr:rowOff>
    </xdr:from>
    <xdr:to>
      <xdr:col>27</xdr:col>
      <xdr:colOff>82344</xdr:colOff>
      <xdr:row>4</xdr:row>
      <xdr:rowOff>104633</xdr:rowOff>
    </xdr:to>
    <xdr:grpSp>
      <xdr:nvGrpSpPr>
        <xdr:cNvPr id="2" name="Groupe 1">
          <a:extLst>
            <a:ext uri="{FF2B5EF4-FFF2-40B4-BE49-F238E27FC236}">
              <a16:creationId xmlns:a16="http://schemas.microsoft.com/office/drawing/2014/main" id="{FF55F3E6-8F53-4225-A39E-E0BBA1D309C8}"/>
            </a:ext>
          </a:extLst>
        </xdr:cNvPr>
        <xdr:cNvGrpSpPr/>
      </xdr:nvGrpSpPr>
      <xdr:grpSpPr>
        <a:xfrm>
          <a:off x="1790700" y="142875"/>
          <a:ext cx="6130719" cy="761858"/>
          <a:chOff x="428625" y="67353"/>
          <a:chExt cx="6130719" cy="761858"/>
        </a:xfrm>
      </xdr:grpSpPr>
      <xdr:grpSp>
        <xdr:nvGrpSpPr>
          <xdr:cNvPr id="3" name="Groupe 2">
            <a:extLst>
              <a:ext uri="{FF2B5EF4-FFF2-40B4-BE49-F238E27FC236}">
                <a16:creationId xmlns:a16="http://schemas.microsoft.com/office/drawing/2014/main" id="{BCCAA08B-9E92-BABC-3EE1-35F82C99106E}"/>
              </a:ext>
            </a:extLst>
          </xdr:cNvPr>
          <xdr:cNvGrpSpPr/>
        </xdr:nvGrpSpPr>
        <xdr:grpSpPr>
          <a:xfrm>
            <a:off x="2678201" y="67353"/>
            <a:ext cx="3881143" cy="761858"/>
            <a:chOff x="1726825" y="67929"/>
            <a:chExt cx="3883670" cy="768372"/>
          </a:xfrm>
        </xdr:grpSpPr>
        <xdr:pic>
          <xdr:nvPicPr>
            <xdr:cNvPr id="5" name="Image 4">
              <a:extLst>
                <a:ext uri="{FF2B5EF4-FFF2-40B4-BE49-F238E27FC236}">
                  <a16:creationId xmlns:a16="http://schemas.microsoft.com/office/drawing/2014/main" id="{ECB747E4-92FB-69B9-46D0-D5F8B43A57F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48869" y="99862"/>
              <a:ext cx="436789" cy="716240"/>
            </a:xfrm>
            <a:prstGeom prst="rect">
              <a:avLst/>
            </a:prstGeom>
          </xdr:spPr>
        </xdr:pic>
        <xdr:grpSp>
          <xdr:nvGrpSpPr>
            <xdr:cNvPr id="6" name="Groupe 5">
              <a:extLst>
                <a:ext uri="{FF2B5EF4-FFF2-40B4-BE49-F238E27FC236}">
                  <a16:creationId xmlns:a16="http://schemas.microsoft.com/office/drawing/2014/main" id="{23F401D3-49CD-A58B-C86E-C56BF6253872}"/>
                </a:ext>
              </a:extLst>
            </xdr:cNvPr>
            <xdr:cNvGrpSpPr/>
          </xdr:nvGrpSpPr>
          <xdr:grpSpPr>
            <a:xfrm>
              <a:off x="1726825" y="67929"/>
              <a:ext cx="3883670" cy="768372"/>
              <a:chOff x="1804092" y="201706"/>
              <a:chExt cx="3870949" cy="773206"/>
            </a:xfrm>
          </xdr:grpSpPr>
          <xdr:pic>
            <xdr:nvPicPr>
              <xdr:cNvPr id="7" name="Image 6">
                <a:extLst>
                  <a:ext uri="{FF2B5EF4-FFF2-40B4-BE49-F238E27FC236}">
                    <a16:creationId xmlns:a16="http://schemas.microsoft.com/office/drawing/2014/main" id="{033B87BB-A871-D40A-F0C0-4C02EA1CBB9F}"/>
                  </a:ext>
                </a:extLst>
              </xdr:cNvPr>
              <xdr:cNvPicPr>
                <a:picLocks noChangeAspect="1"/>
              </xdr:cNvPicPr>
            </xdr:nvPicPr>
            <xdr:blipFill>
              <a:blip xmlns:r="http://schemas.openxmlformats.org/officeDocument/2006/relationships" r:embed="rId4"/>
              <a:stretch>
                <a:fillRect/>
              </a:stretch>
            </xdr:blipFill>
            <xdr:spPr>
              <a:xfrm>
                <a:off x="3779562" y="201706"/>
                <a:ext cx="749851" cy="773206"/>
              </a:xfrm>
              <a:prstGeom prst="rect">
                <a:avLst/>
              </a:prstGeom>
            </xdr:spPr>
          </xdr:pic>
          <xdr:pic>
            <xdr:nvPicPr>
              <xdr:cNvPr id="8" name="Image 7">
                <a:extLst>
                  <a:ext uri="{FF2B5EF4-FFF2-40B4-BE49-F238E27FC236}">
                    <a16:creationId xmlns:a16="http://schemas.microsoft.com/office/drawing/2014/main" id="{AB7CF666-94C3-0426-FEC0-DF90270F5920}"/>
                  </a:ext>
                </a:extLst>
              </xdr:cNvPr>
              <xdr:cNvPicPr>
                <a:picLocks noChangeAspect="1"/>
              </xdr:cNvPicPr>
            </xdr:nvPicPr>
            <xdr:blipFill>
              <a:blip xmlns:r="http://schemas.openxmlformats.org/officeDocument/2006/relationships" r:embed="rId5"/>
              <a:stretch>
                <a:fillRect/>
              </a:stretch>
            </xdr:blipFill>
            <xdr:spPr>
              <a:xfrm>
                <a:off x="5178994" y="268939"/>
                <a:ext cx="496047" cy="651443"/>
              </a:xfrm>
              <a:prstGeom prst="rect">
                <a:avLst/>
              </a:prstGeom>
            </xdr:spPr>
          </xdr:pic>
          <xdr:sp macro="" textlink="">
            <xdr:nvSpPr>
              <xdr:cNvPr id="10" name="ZoneTexte 9">
                <a:extLst>
                  <a:ext uri="{FF2B5EF4-FFF2-40B4-BE49-F238E27FC236}">
                    <a16:creationId xmlns:a16="http://schemas.microsoft.com/office/drawing/2014/main" id="{C89818D4-CCA7-DAEB-42B1-64D69B40E235}"/>
                  </a:ext>
                </a:extLst>
              </xdr:cNvPr>
              <xdr:cNvSpPr txBox="1"/>
            </xdr:nvSpPr>
            <xdr:spPr>
              <a:xfrm>
                <a:off x="1804092" y="438150"/>
                <a:ext cx="2072552"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t>Avec la collaboration de</a:t>
                </a:r>
                <a:r>
                  <a:rPr lang="fr-FR" sz="1400" b="1" baseline="0"/>
                  <a:t> :</a:t>
                </a:r>
                <a:endParaRPr lang="fr-FR" sz="1400" b="1"/>
              </a:p>
            </xdr:txBody>
          </xdr:sp>
        </xdr:grpSp>
      </xdr:grpSp>
      <xdr:pic>
        <xdr:nvPicPr>
          <xdr:cNvPr id="4" name="Image 3">
            <a:extLst>
              <a:ext uri="{FF2B5EF4-FFF2-40B4-BE49-F238E27FC236}">
                <a16:creationId xmlns:a16="http://schemas.microsoft.com/office/drawing/2014/main" id="{EA0EF133-2E08-14E7-429C-439BF8A683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8625" y="266700"/>
            <a:ext cx="2266950" cy="432892"/>
          </a:xfrm>
          <a:prstGeom prst="rect">
            <a:avLst/>
          </a:prstGeom>
        </xdr:spPr>
      </xdr:pic>
    </xdr:grpSp>
    <xdr:clientData/>
  </xdr:twoCellAnchor>
</xdr:wsDr>
</file>

<file path=xl/drawings/drawing17.xml><?xml version="1.0" encoding="utf-8"?>
<c:userShapes xmlns:c="http://schemas.openxmlformats.org/drawingml/2006/chart">
  <cdr:relSizeAnchor xmlns:cdr="http://schemas.openxmlformats.org/drawingml/2006/chartDrawing">
    <cdr:from>
      <cdr:x>0</cdr:x>
      <cdr:y>0</cdr:y>
    </cdr:from>
    <cdr:to>
      <cdr:x>0.99054</cdr:x>
      <cdr:y>0.15213</cdr:y>
    </cdr:to>
    <cdr:sp macro="" textlink="">
      <cdr:nvSpPr>
        <cdr:cNvPr id="3" name="ZoneTexte 1">
          <a:extLst xmlns:a="http://schemas.openxmlformats.org/drawingml/2006/main">
            <a:ext uri="{FF2B5EF4-FFF2-40B4-BE49-F238E27FC236}">
              <a16:creationId xmlns:a16="http://schemas.microsoft.com/office/drawing/2014/main" id="{C11D0E0F-D9DF-430F-8372-A2ECEFF69350}"/>
            </a:ext>
          </a:extLst>
        </cdr:cNvPr>
        <cdr:cNvSpPr txBox="1"/>
      </cdr:nvSpPr>
      <cdr:spPr>
        <a:xfrm xmlns:a="http://schemas.openxmlformats.org/drawingml/2006/main">
          <a:off x="0" y="0"/>
          <a:ext cx="3989244" cy="5178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b="1"/>
            <a:t>Ecart</a:t>
          </a:r>
          <a:r>
            <a:rPr lang="fr-FR" sz="1600" b="1" baseline="0"/>
            <a:t> de charges </a:t>
          </a:r>
          <a:r>
            <a:rPr lang="fr-FR" sz="1600" b="1" baseline="0">
              <a:solidFill>
                <a:srgbClr val="FF0000"/>
              </a:solidFill>
            </a:rPr>
            <a:t>par tonne </a:t>
          </a:r>
          <a:r>
            <a:rPr lang="fr-FR" sz="1600" b="1" baseline="0"/>
            <a:t>(rdt moy)</a:t>
          </a:r>
        </a:p>
        <a:p xmlns:a="http://schemas.openxmlformats.org/drawingml/2006/main">
          <a:pPr algn="ctr"/>
          <a:r>
            <a:rPr lang="fr-FR" sz="1600" b="1" baseline="0"/>
            <a:t>par rapport à la situation de départ</a:t>
          </a:r>
          <a:endParaRPr lang="fr-FR" sz="1600" b="1"/>
        </a:p>
      </cdr:txBody>
    </cdr:sp>
  </cdr:relSizeAnchor>
</c:userShapes>
</file>

<file path=xl/drawings/drawing18.xml><?xml version="1.0" encoding="utf-8"?>
<c:userShapes xmlns:c="http://schemas.openxmlformats.org/drawingml/2006/chart">
  <cdr:relSizeAnchor xmlns:cdr="http://schemas.openxmlformats.org/drawingml/2006/chartDrawing">
    <cdr:from>
      <cdr:x>0</cdr:x>
      <cdr:y>0.00836</cdr:y>
    </cdr:from>
    <cdr:to>
      <cdr:x>1</cdr:x>
      <cdr:y>0.16409</cdr:y>
    </cdr:to>
    <cdr:sp macro="" textlink="">
      <cdr:nvSpPr>
        <cdr:cNvPr id="2" name="ZoneTexte 1">
          <a:extLst xmlns:a="http://schemas.openxmlformats.org/drawingml/2006/main">
            <a:ext uri="{FF2B5EF4-FFF2-40B4-BE49-F238E27FC236}">
              <a16:creationId xmlns:a16="http://schemas.microsoft.com/office/drawing/2014/main" id="{E895955A-F190-4506-AE42-F5B1C21B2BCE}"/>
            </a:ext>
          </a:extLst>
        </cdr:cNvPr>
        <cdr:cNvSpPr txBox="1"/>
      </cdr:nvSpPr>
      <cdr:spPr>
        <a:xfrm xmlns:a="http://schemas.openxmlformats.org/drawingml/2006/main">
          <a:off x="0" y="28549"/>
          <a:ext cx="3001774" cy="53174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600" b="1" i="0" baseline="0">
              <a:effectLst/>
              <a:latin typeface="+mn-lt"/>
              <a:ea typeface="+mn-ea"/>
              <a:cs typeface="+mn-cs"/>
            </a:rPr>
            <a:t>Charges en € </a:t>
          </a:r>
          <a:r>
            <a:rPr lang="fr-FR" sz="1600" b="1" i="0" baseline="0">
              <a:solidFill>
                <a:srgbClr val="FF0000"/>
              </a:solidFill>
              <a:effectLst/>
              <a:latin typeface="+mn-lt"/>
              <a:ea typeface="+mn-ea"/>
              <a:cs typeface="+mn-cs"/>
            </a:rPr>
            <a:t>par tonne </a:t>
          </a:r>
          <a:r>
            <a:rPr lang="fr-FR" sz="1600" b="1" i="0" baseline="0">
              <a:solidFill>
                <a:schemeClr val="tx1"/>
              </a:solidFill>
              <a:effectLst/>
              <a:latin typeface="+mn-lt"/>
              <a:ea typeface="+mn-ea"/>
              <a:cs typeface="+mn-cs"/>
            </a:rPr>
            <a:t>(rdt moy) </a:t>
          </a:r>
          <a:endParaRPr lang="fr-FR" sz="1600">
            <a:solidFill>
              <a:schemeClr val="tx1"/>
            </a:solidFill>
            <a:effectLst/>
          </a:endParaRPr>
        </a:p>
        <a:p xmlns:a="http://schemas.openxmlformats.org/drawingml/2006/main">
          <a:pPr algn="ctr" rtl="0"/>
          <a:r>
            <a:rPr lang="fr-FR" sz="1400" b="1" i="0" baseline="0">
              <a:effectLst/>
              <a:latin typeface="+mn-lt"/>
              <a:ea typeface="+mn-ea"/>
              <a:cs typeface="+mn-cs"/>
            </a:rPr>
            <a:t>(postes de charge saisis uniquement)</a:t>
          </a:r>
          <a:r>
            <a:rPr lang="fr-FR" sz="1400" b="0" i="0" baseline="0">
              <a:effectLst/>
              <a:latin typeface="+mn-lt"/>
              <a:ea typeface="+mn-ea"/>
              <a:cs typeface="+mn-cs"/>
            </a:rPr>
            <a:t> </a:t>
          </a:r>
          <a:endParaRPr lang="fr-FR" sz="1400">
            <a:effectLst/>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18</xdr:col>
      <xdr:colOff>273492</xdr:colOff>
      <xdr:row>16</xdr:row>
      <xdr:rowOff>164961</xdr:rowOff>
    </xdr:from>
    <xdr:to>
      <xdr:col>31</xdr:col>
      <xdr:colOff>269123</xdr:colOff>
      <xdr:row>38</xdr:row>
      <xdr:rowOff>153555</xdr:rowOff>
    </xdr:to>
    <xdr:graphicFrame macro="">
      <xdr:nvGraphicFramePr>
        <xdr:cNvPr id="78" name="Graphique 77">
          <a:extLst>
            <a:ext uri="{FF2B5EF4-FFF2-40B4-BE49-F238E27FC236}">
              <a16:creationId xmlns:a16="http://schemas.microsoft.com/office/drawing/2014/main" id="{98F20FA2-1244-49BE-95BD-5D199BAF5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122464</xdr:colOff>
      <xdr:row>16</xdr:row>
      <xdr:rowOff>163286</xdr:rowOff>
    </xdr:from>
    <xdr:to>
      <xdr:col>18</xdr:col>
      <xdr:colOff>226009</xdr:colOff>
      <xdr:row>38</xdr:row>
      <xdr:rowOff>157155</xdr:rowOff>
    </xdr:to>
    <xdr:graphicFrame macro="">
      <xdr:nvGraphicFramePr>
        <xdr:cNvPr id="79" name="Graphique 78">
          <a:extLst>
            <a:ext uri="{FF2B5EF4-FFF2-40B4-BE49-F238E27FC236}">
              <a16:creationId xmlns:a16="http://schemas.microsoft.com/office/drawing/2014/main" id="{310C694E-F51F-417B-98D6-8BEAB97AA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33</xdr:col>
      <xdr:colOff>33541</xdr:colOff>
      <xdr:row>18</xdr:row>
      <xdr:rowOff>16931</xdr:rowOff>
    </xdr:from>
    <xdr:to>
      <xdr:col>39</xdr:col>
      <xdr:colOff>243854</xdr:colOff>
      <xdr:row>22</xdr:row>
      <xdr:rowOff>49904</xdr:rowOff>
    </xdr:to>
    <xdr:grpSp>
      <xdr:nvGrpSpPr>
        <xdr:cNvPr id="4" name="Groupe 3">
          <a:extLst>
            <a:ext uri="{FF2B5EF4-FFF2-40B4-BE49-F238E27FC236}">
              <a16:creationId xmlns:a16="http://schemas.microsoft.com/office/drawing/2014/main" id="{8BAEB766-F12D-494A-8643-5B7339FD684F}"/>
            </a:ext>
          </a:extLst>
        </xdr:cNvPr>
        <xdr:cNvGrpSpPr/>
      </xdr:nvGrpSpPr>
      <xdr:grpSpPr>
        <a:xfrm>
          <a:off x="9587116" y="4026956"/>
          <a:ext cx="1924813" cy="794973"/>
          <a:chOff x="10204216" y="12463646"/>
          <a:chExt cx="1873792" cy="779182"/>
        </a:xfrm>
      </xdr:grpSpPr>
      <xdr:grpSp>
        <xdr:nvGrpSpPr>
          <xdr:cNvPr id="5" name="Groupe 4">
            <a:extLst>
              <a:ext uri="{FF2B5EF4-FFF2-40B4-BE49-F238E27FC236}">
                <a16:creationId xmlns:a16="http://schemas.microsoft.com/office/drawing/2014/main" id="{04852D16-9784-467D-AFCA-B95A4BB70F5E}"/>
              </a:ext>
            </a:extLst>
          </xdr:cNvPr>
          <xdr:cNvGrpSpPr/>
        </xdr:nvGrpSpPr>
        <xdr:grpSpPr>
          <a:xfrm>
            <a:off x="10381527" y="12946959"/>
            <a:ext cx="206335" cy="98381"/>
            <a:chOff x="28820269" y="7548562"/>
            <a:chExt cx="297656" cy="142875"/>
          </a:xfrm>
          <a:solidFill>
            <a:schemeClr val="accent3"/>
          </a:solidFill>
        </xdr:grpSpPr>
        <xdr:cxnSp macro="">
          <xdr:nvCxnSpPr>
            <xdr:cNvPr id="15" name="Connecteur droit 14">
              <a:extLst>
                <a:ext uri="{FF2B5EF4-FFF2-40B4-BE49-F238E27FC236}">
                  <a16:creationId xmlns:a16="http://schemas.microsoft.com/office/drawing/2014/main" id="{303C73F5-9DDD-43B0-8449-37F25513E032}"/>
                </a:ext>
              </a:extLst>
            </xdr:cNvPr>
            <xdr:cNvCxnSpPr/>
          </xdr:nvCxnSpPr>
          <xdr:spPr>
            <a:xfrm>
              <a:off x="28820269" y="7603331"/>
              <a:ext cx="297656" cy="0"/>
            </a:xfrm>
            <a:prstGeom prst="line">
              <a:avLst/>
            </a:prstGeom>
            <a:grpFill/>
            <a:ln w="28575" cap="rnd">
              <a:solidFill>
                <a:schemeClr val="accent3"/>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6" name="Losange 15">
              <a:extLst>
                <a:ext uri="{FF2B5EF4-FFF2-40B4-BE49-F238E27FC236}">
                  <a16:creationId xmlns:a16="http://schemas.microsoft.com/office/drawing/2014/main" id="{1F1D2559-2E3E-44D5-94A3-BEAB2CDA6B46}"/>
                </a:ext>
              </a:extLst>
            </xdr:cNvPr>
            <xdr:cNvSpPr/>
          </xdr:nvSpPr>
          <xdr:spPr>
            <a:xfrm>
              <a:off x="28908376" y="7548562"/>
              <a:ext cx="142874" cy="142875"/>
            </a:xfrm>
            <a:prstGeom prst="diamond">
              <a:avLst/>
            </a:prstGeom>
            <a:grpFill/>
            <a:ln w="28575">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nvGrpSpPr>
          <xdr:cNvPr id="6" name="Groupe 5">
            <a:extLst>
              <a:ext uri="{FF2B5EF4-FFF2-40B4-BE49-F238E27FC236}">
                <a16:creationId xmlns:a16="http://schemas.microsoft.com/office/drawing/2014/main" id="{4B11CD93-25B4-48DE-AC34-33D96C290584}"/>
              </a:ext>
            </a:extLst>
          </xdr:cNvPr>
          <xdr:cNvGrpSpPr/>
        </xdr:nvGrpSpPr>
        <xdr:grpSpPr>
          <a:xfrm>
            <a:off x="10380038" y="12759230"/>
            <a:ext cx="206335" cy="65587"/>
            <a:chOff x="28667869" y="7405687"/>
            <a:chExt cx="297656" cy="95250"/>
          </a:xfrm>
          <a:solidFill>
            <a:schemeClr val="accent3">
              <a:lumMod val="50000"/>
            </a:schemeClr>
          </a:solidFill>
        </xdr:grpSpPr>
        <xdr:sp macro="" textlink="">
          <xdr:nvSpPr>
            <xdr:cNvPr id="13" name="Rectangle 12">
              <a:extLst>
                <a:ext uri="{FF2B5EF4-FFF2-40B4-BE49-F238E27FC236}">
                  <a16:creationId xmlns:a16="http://schemas.microsoft.com/office/drawing/2014/main" id="{9DDED437-2B8A-4E2F-8CDA-B2D879BF5922}"/>
                </a:ext>
              </a:extLst>
            </xdr:cNvPr>
            <xdr:cNvSpPr/>
          </xdr:nvSpPr>
          <xdr:spPr>
            <a:xfrm>
              <a:off x="28777406" y="7405687"/>
              <a:ext cx="95250" cy="95250"/>
            </a:xfrm>
            <a:prstGeom prst="rect">
              <a:avLst/>
            </a:prstGeom>
            <a:grpFill/>
            <a:ln w="28575">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xnSp macro="">
          <xdr:nvCxnSpPr>
            <xdr:cNvPr id="14" name="Connecteur droit 13">
              <a:extLst>
                <a:ext uri="{FF2B5EF4-FFF2-40B4-BE49-F238E27FC236}">
                  <a16:creationId xmlns:a16="http://schemas.microsoft.com/office/drawing/2014/main" id="{B11FF04F-2584-466F-A4EC-39C2F8D0966C}"/>
                </a:ext>
              </a:extLst>
            </xdr:cNvPr>
            <xdr:cNvCxnSpPr/>
          </xdr:nvCxnSpPr>
          <xdr:spPr>
            <a:xfrm>
              <a:off x="28667869" y="7450931"/>
              <a:ext cx="297656" cy="0"/>
            </a:xfrm>
            <a:prstGeom prst="line">
              <a:avLst/>
            </a:prstGeom>
            <a:grpFill/>
            <a:ln w="28575" cap="rnd">
              <a:solidFill>
                <a:schemeClr val="accent3">
                  <a:lumMod val="50000"/>
                </a:schemeClr>
              </a:solidFill>
            </a:ln>
          </xdr:spPr>
          <xdr:style>
            <a:lnRef idx="1">
              <a:schemeClr val="accent1"/>
            </a:lnRef>
            <a:fillRef idx="0">
              <a:schemeClr val="accent1"/>
            </a:fillRef>
            <a:effectRef idx="0">
              <a:schemeClr val="accent1"/>
            </a:effectRef>
            <a:fontRef idx="minor">
              <a:schemeClr val="tx1"/>
            </a:fontRef>
          </xdr:style>
        </xdr:cxnSp>
      </xdr:grpSp>
      <xdr:grpSp>
        <xdr:nvGrpSpPr>
          <xdr:cNvPr id="7" name="Groupe 6">
            <a:extLst>
              <a:ext uri="{FF2B5EF4-FFF2-40B4-BE49-F238E27FC236}">
                <a16:creationId xmlns:a16="http://schemas.microsoft.com/office/drawing/2014/main" id="{39AE636D-0E62-400D-B26C-8FAC7064445F}"/>
              </a:ext>
            </a:extLst>
          </xdr:cNvPr>
          <xdr:cNvGrpSpPr/>
        </xdr:nvGrpSpPr>
        <xdr:grpSpPr>
          <a:xfrm>
            <a:off x="10376238" y="12567737"/>
            <a:ext cx="206335" cy="65587"/>
            <a:chOff x="28515469" y="7250906"/>
            <a:chExt cx="297656" cy="95250"/>
          </a:xfrm>
          <a:solidFill>
            <a:srgbClr val="D99694"/>
          </a:solidFill>
        </xdr:grpSpPr>
        <xdr:cxnSp macro="">
          <xdr:nvCxnSpPr>
            <xdr:cNvPr id="11" name="Connecteur droit 10">
              <a:extLst>
                <a:ext uri="{FF2B5EF4-FFF2-40B4-BE49-F238E27FC236}">
                  <a16:creationId xmlns:a16="http://schemas.microsoft.com/office/drawing/2014/main" id="{67964DB5-CFB1-4D90-B2CF-2A72CFE6EE3A}"/>
                </a:ext>
              </a:extLst>
            </xdr:cNvPr>
            <xdr:cNvCxnSpPr/>
          </xdr:nvCxnSpPr>
          <xdr:spPr>
            <a:xfrm>
              <a:off x="28515469" y="7298531"/>
              <a:ext cx="297656" cy="0"/>
            </a:xfrm>
            <a:prstGeom prst="line">
              <a:avLst/>
            </a:prstGeom>
            <a:grpFill/>
            <a:ln w="28575" cap="rnd">
              <a:solidFill>
                <a:srgbClr val="D99694"/>
              </a:solidFill>
            </a:ln>
          </xdr:spPr>
          <xdr:style>
            <a:lnRef idx="1">
              <a:schemeClr val="accent1"/>
            </a:lnRef>
            <a:fillRef idx="0">
              <a:schemeClr val="accent1"/>
            </a:fillRef>
            <a:effectRef idx="0">
              <a:schemeClr val="accent1"/>
            </a:effectRef>
            <a:fontRef idx="minor">
              <a:schemeClr val="tx1"/>
            </a:fontRef>
          </xdr:style>
        </xdr:cxnSp>
        <xdr:sp macro="" textlink="">
          <xdr:nvSpPr>
            <xdr:cNvPr id="12" name="Ellipse 11">
              <a:extLst>
                <a:ext uri="{FF2B5EF4-FFF2-40B4-BE49-F238E27FC236}">
                  <a16:creationId xmlns:a16="http://schemas.microsoft.com/office/drawing/2014/main" id="{062A90C3-5140-408A-9BE9-4B716CDF9DFB}"/>
                </a:ext>
              </a:extLst>
            </xdr:cNvPr>
            <xdr:cNvSpPr/>
          </xdr:nvSpPr>
          <xdr:spPr>
            <a:xfrm>
              <a:off x="28622625" y="7250906"/>
              <a:ext cx="95250" cy="95250"/>
            </a:xfrm>
            <a:prstGeom prst="ellipse">
              <a:avLst/>
            </a:prstGeom>
            <a:grpFill/>
            <a:ln w="28575">
              <a:solidFill>
                <a:srgbClr val="D9969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8" name="Rectangle 7">
            <a:extLst>
              <a:ext uri="{FF2B5EF4-FFF2-40B4-BE49-F238E27FC236}">
                <a16:creationId xmlns:a16="http://schemas.microsoft.com/office/drawing/2014/main" id="{AB19D805-35E9-43AA-A9E0-AEFA9DA709E9}"/>
              </a:ext>
            </a:extLst>
          </xdr:cNvPr>
          <xdr:cNvSpPr/>
        </xdr:nvSpPr>
        <xdr:spPr>
          <a:xfrm>
            <a:off x="10208558" y="12550614"/>
            <a:ext cx="110109" cy="109375"/>
          </a:xfrm>
          <a:prstGeom prst="rect">
            <a:avLst/>
          </a:prstGeom>
          <a:solidFill>
            <a:srgbClr val="D996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9" name="Rectangle 8">
            <a:extLst>
              <a:ext uri="{FF2B5EF4-FFF2-40B4-BE49-F238E27FC236}">
                <a16:creationId xmlns:a16="http://schemas.microsoft.com/office/drawing/2014/main" id="{E0550156-F0BC-4F89-BB65-0D4A8334ADBE}"/>
              </a:ext>
            </a:extLst>
          </xdr:cNvPr>
          <xdr:cNvSpPr/>
        </xdr:nvSpPr>
        <xdr:spPr>
          <a:xfrm>
            <a:off x="10204216" y="12734670"/>
            <a:ext cx="110109" cy="109375"/>
          </a:xfrm>
          <a:prstGeom prst="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0" name="ZoneTexte 9">
            <a:extLst>
              <a:ext uri="{FF2B5EF4-FFF2-40B4-BE49-F238E27FC236}">
                <a16:creationId xmlns:a16="http://schemas.microsoft.com/office/drawing/2014/main" id="{C82D7901-3AB2-4507-94DA-017ED8DB7200}"/>
              </a:ext>
            </a:extLst>
          </xdr:cNvPr>
          <xdr:cNvSpPr txBox="1"/>
        </xdr:nvSpPr>
        <xdr:spPr>
          <a:xfrm>
            <a:off x="10554008" y="12463646"/>
            <a:ext cx="1524000" cy="779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Semences</a:t>
            </a:r>
          </a:p>
          <a:p>
            <a:r>
              <a:rPr lang="fr-FR" sz="1200"/>
              <a:t>Engrais</a:t>
            </a:r>
            <a:r>
              <a:rPr lang="fr-FR" sz="1200" baseline="0"/>
              <a:t> total</a:t>
            </a:r>
          </a:p>
          <a:p>
            <a:r>
              <a:rPr lang="fr-FR" sz="1200"/>
              <a:t>dont azote simple</a:t>
            </a:r>
          </a:p>
          <a:p>
            <a:endParaRPr lang="fr-FR" sz="1200"/>
          </a:p>
        </xdr:txBody>
      </xdr:sp>
    </xdr:grpSp>
    <xdr:clientData/>
  </xdr:twoCellAnchor>
  <xdr:twoCellAnchor editAs="oneCell">
    <xdr:from>
      <xdr:col>33</xdr:col>
      <xdr:colOff>91468</xdr:colOff>
      <xdr:row>30</xdr:row>
      <xdr:rowOff>120998</xdr:rowOff>
    </xdr:from>
    <xdr:to>
      <xdr:col>44</xdr:col>
      <xdr:colOff>58931</xdr:colOff>
      <xdr:row>33</xdr:row>
      <xdr:rowOff>101352</xdr:rowOff>
    </xdr:to>
    <xdr:grpSp>
      <xdr:nvGrpSpPr>
        <xdr:cNvPr id="17" name="Groupe 16">
          <a:extLst>
            <a:ext uri="{FF2B5EF4-FFF2-40B4-BE49-F238E27FC236}">
              <a16:creationId xmlns:a16="http://schemas.microsoft.com/office/drawing/2014/main" id="{9272817B-636D-4493-9773-FC62AE6C0CBB}"/>
            </a:ext>
          </a:extLst>
        </xdr:cNvPr>
        <xdr:cNvGrpSpPr/>
      </xdr:nvGrpSpPr>
      <xdr:grpSpPr>
        <a:xfrm>
          <a:off x="9645043" y="6417023"/>
          <a:ext cx="3110713" cy="551854"/>
          <a:chOff x="17977092" y="12488794"/>
          <a:chExt cx="3028257" cy="540892"/>
        </a:xfrm>
      </xdr:grpSpPr>
      <xdr:grpSp>
        <xdr:nvGrpSpPr>
          <xdr:cNvPr id="18" name="Groupe 17">
            <a:extLst>
              <a:ext uri="{FF2B5EF4-FFF2-40B4-BE49-F238E27FC236}">
                <a16:creationId xmlns:a16="http://schemas.microsoft.com/office/drawing/2014/main" id="{2B0F2EC2-0B56-4850-94D6-75C559E5F28B}"/>
              </a:ext>
            </a:extLst>
          </xdr:cNvPr>
          <xdr:cNvGrpSpPr/>
        </xdr:nvGrpSpPr>
        <xdr:grpSpPr>
          <a:xfrm>
            <a:off x="18133808" y="12786495"/>
            <a:ext cx="206335" cy="65587"/>
            <a:chOff x="28515469" y="7250906"/>
            <a:chExt cx="297656" cy="95250"/>
          </a:xfrm>
          <a:solidFill>
            <a:srgbClr val="FF0000"/>
          </a:solidFill>
        </xdr:grpSpPr>
        <xdr:cxnSp macro="">
          <xdr:nvCxnSpPr>
            <xdr:cNvPr id="24" name="Connecteur droit 23">
              <a:extLst>
                <a:ext uri="{FF2B5EF4-FFF2-40B4-BE49-F238E27FC236}">
                  <a16:creationId xmlns:a16="http://schemas.microsoft.com/office/drawing/2014/main" id="{AEE6D57D-76EF-4225-8DFD-94E8E934C4BB}"/>
                </a:ext>
              </a:extLst>
            </xdr:cNvPr>
            <xdr:cNvCxnSpPr/>
          </xdr:nvCxnSpPr>
          <xdr:spPr>
            <a:xfrm>
              <a:off x="28515469" y="7298531"/>
              <a:ext cx="297656" cy="0"/>
            </a:xfrm>
            <a:prstGeom prst="line">
              <a:avLst/>
            </a:prstGeom>
            <a:grpFill/>
            <a:ln w="28575" cap="rnd">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5" name="Ellipse 24">
              <a:extLst>
                <a:ext uri="{FF2B5EF4-FFF2-40B4-BE49-F238E27FC236}">
                  <a16:creationId xmlns:a16="http://schemas.microsoft.com/office/drawing/2014/main" id="{A2EC9674-CA58-49B3-939D-1B7C74FCF673}"/>
                </a:ext>
              </a:extLst>
            </xdr:cNvPr>
            <xdr:cNvSpPr/>
          </xdr:nvSpPr>
          <xdr:spPr>
            <a:xfrm>
              <a:off x="28622625" y="7250906"/>
              <a:ext cx="95250" cy="95250"/>
            </a:xfrm>
            <a:prstGeom prst="ellipse">
              <a:avLst/>
            </a:prstGeom>
            <a:grp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19" name="ZoneTexte 18">
            <a:extLst>
              <a:ext uri="{FF2B5EF4-FFF2-40B4-BE49-F238E27FC236}">
                <a16:creationId xmlns:a16="http://schemas.microsoft.com/office/drawing/2014/main" id="{0BDCBC13-D4E5-4D47-AFEA-822E8BB2277F}"/>
              </a:ext>
            </a:extLst>
          </xdr:cNvPr>
          <xdr:cNvSpPr txBox="1"/>
        </xdr:nvSpPr>
        <xdr:spPr>
          <a:xfrm>
            <a:off x="18280078" y="12488794"/>
            <a:ext cx="2725271" cy="540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Rémunération de la</a:t>
            </a:r>
            <a:r>
              <a:rPr lang="fr-FR" sz="1200" baseline="0"/>
              <a:t> MO familiale</a:t>
            </a:r>
          </a:p>
          <a:p>
            <a:r>
              <a:rPr lang="fr-FR" sz="1200" baseline="0"/>
              <a:t>Total des charges</a:t>
            </a:r>
            <a:endParaRPr lang="fr-FR" sz="1200"/>
          </a:p>
        </xdr:txBody>
      </xdr:sp>
      <xdr:grpSp>
        <xdr:nvGrpSpPr>
          <xdr:cNvPr id="20" name="Groupe 19">
            <a:extLst>
              <a:ext uri="{FF2B5EF4-FFF2-40B4-BE49-F238E27FC236}">
                <a16:creationId xmlns:a16="http://schemas.microsoft.com/office/drawing/2014/main" id="{BA243322-CF26-477C-B1CB-FB5D9B4B0AEE}"/>
              </a:ext>
            </a:extLst>
          </xdr:cNvPr>
          <xdr:cNvGrpSpPr/>
        </xdr:nvGrpSpPr>
        <xdr:grpSpPr>
          <a:xfrm>
            <a:off x="18133808" y="12601279"/>
            <a:ext cx="206335" cy="65587"/>
            <a:chOff x="28515469" y="7250906"/>
            <a:chExt cx="297656" cy="95250"/>
          </a:xfrm>
          <a:solidFill>
            <a:schemeClr val="accent5">
              <a:lumMod val="75000"/>
            </a:schemeClr>
          </a:solidFill>
        </xdr:grpSpPr>
        <xdr:cxnSp macro="">
          <xdr:nvCxnSpPr>
            <xdr:cNvPr id="22" name="Connecteur droit 21">
              <a:extLst>
                <a:ext uri="{FF2B5EF4-FFF2-40B4-BE49-F238E27FC236}">
                  <a16:creationId xmlns:a16="http://schemas.microsoft.com/office/drawing/2014/main" id="{322240EC-B363-4769-A51D-7011EAD7ADED}"/>
                </a:ext>
              </a:extLst>
            </xdr:cNvPr>
            <xdr:cNvCxnSpPr/>
          </xdr:nvCxnSpPr>
          <xdr:spPr>
            <a:xfrm>
              <a:off x="28515469" y="7298531"/>
              <a:ext cx="297656" cy="0"/>
            </a:xfrm>
            <a:prstGeom prst="line">
              <a:avLst/>
            </a:prstGeom>
            <a:grpFill/>
            <a:ln w="28575" cap="rnd">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Ellipse 22">
              <a:extLst>
                <a:ext uri="{FF2B5EF4-FFF2-40B4-BE49-F238E27FC236}">
                  <a16:creationId xmlns:a16="http://schemas.microsoft.com/office/drawing/2014/main" id="{9CF00938-6B28-4726-BA76-883DD591CCBC}"/>
                </a:ext>
              </a:extLst>
            </xdr:cNvPr>
            <xdr:cNvSpPr/>
          </xdr:nvSpPr>
          <xdr:spPr>
            <a:xfrm>
              <a:off x="28622625" y="7250906"/>
              <a:ext cx="95250" cy="95250"/>
            </a:xfrm>
            <a:prstGeom prst="ellipse">
              <a:avLst/>
            </a:prstGeom>
            <a:grpFill/>
            <a:ln w="28575">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21" name="Rectangle 20">
            <a:extLst>
              <a:ext uri="{FF2B5EF4-FFF2-40B4-BE49-F238E27FC236}">
                <a16:creationId xmlns:a16="http://schemas.microsoft.com/office/drawing/2014/main" id="{DB891343-2884-424F-9C25-8AD850F32D0D}"/>
              </a:ext>
            </a:extLst>
          </xdr:cNvPr>
          <xdr:cNvSpPr/>
        </xdr:nvSpPr>
        <xdr:spPr>
          <a:xfrm>
            <a:off x="17977092" y="12578506"/>
            <a:ext cx="110109" cy="109375"/>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33</xdr:col>
      <xdr:colOff>79312</xdr:colOff>
      <xdr:row>27</xdr:row>
      <xdr:rowOff>133405</xdr:rowOff>
    </xdr:from>
    <xdr:to>
      <xdr:col>40</xdr:col>
      <xdr:colOff>184785</xdr:colOff>
      <xdr:row>31</xdr:row>
      <xdr:rowOff>68021</xdr:rowOff>
    </xdr:to>
    <xdr:grpSp>
      <xdr:nvGrpSpPr>
        <xdr:cNvPr id="26" name="Groupe 25">
          <a:extLst>
            <a:ext uri="{FF2B5EF4-FFF2-40B4-BE49-F238E27FC236}">
              <a16:creationId xmlns:a16="http://schemas.microsoft.com/office/drawing/2014/main" id="{75A6880D-A3D1-4895-86C0-79799BE99B6C}"/>
            </a:ext>
          </a:extLst>
        </xdr:cNvPr>
        <xdr:cNvGrpSpPr/>
      </xdr:nvGrpSpPr>
      <xdr:grpSpPr>
        <a:xfrm>
          <a:off x="9632887" y="5857930"/>
          <a:ext cx="2105723" cy="696616"/>
          <a:chOff x="15675326" y="12486571"/>
          <a:chExt cx="2049907" cy="682778"/>
        </a:xfrm>
      </xdr:grpSpPr>
      <xdr:grpSp>
        <xdr:nvGrpSpPr>
          <xdr:cNvPr id="27" name="Groupe 26">
            <a:extLst>
              <a:ext uri="{FF2B5EF4-FFF2-40B4-BE49-F238E27FC236}">
                <a16:creationId xmlns:a16="http://schemas.microsoft.com/office/drawing/2014/main" id="{189A85D6-8F62-4E28-87E5-ACD3BD6BE369}"/>
              </a:ext>
            </a:extLst>
          </xdr:cNvPr>
          <xdr:cNvGrpSpPr/>
        </xdr:nvGrpSpPr>
        <xdr:grpSpPr>
          <a:xfrm>
            <a:off x="15827945" y="12974315"/>
            <a:ext cx="206335" cy="65587"/>
            <a:chOff x="28515469" y="7250906"/>
            <a:chExt cx="297656" cy="95250"/>
          </a:xfrm>
          <a:solidFill>
            <a:schemeClr val="tx1"/>
          </a:solidFill>
        </xdr:grpSpPr>
        <xdr:cxnSp macro="">
          <xdr:nvCxnSpPr>
            <xdr:cNvPr id="38" name="Connecteur droit 37">
              <a:extLst>
                <a:ext uri="{FF2B5EF4-FFF2-40B4-BE49-F238E27FC236}">
                  <a16:creationId xmlns:a16="http://schemas.microsoft.com/office/drawing/2014/main" id="{4F81FD54-BF6A-4FD9-8469-AD06482CBB13}"/>
                </a:ext>
              </a:extLst>
            </xdr:cNvPr>
            <xdr:cNvCxnSpPr/>
          </xdr:nvCxnSpPr>
          <xdr:spPr>
            <a:xfrm>
              <a:off x="28515469" y="7298531"/>
              <a:ext cx="297656" cy="0"/>
            </a:xfrm>
            <a:prstGeom prst="line">
              <a:avLst/>
            </a:prstGeom>
            <a:grpFill/>
            <a:ln w="28575" cap="rnd">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9" name="Ellipse 38">
              <a:extLst>
                <a:ext uri="{FF2B5EF4-FFF2-40B4-BE49-F238E27FC236}">
                  <a16:creationId xmlns:a16="http://schemas.microsoft.com/office/drawing/2014/main" id="{4729A5FB-9B8D-44E5-B1F4-AE60D7A77365}"/>
                </a:ext>
              </a:extLst>
            </xdr:cNvPr>
            <xdr:cNvSpPr/>
          </xdr:nvSpPr>
          <xdr:spPr>
            <a:xfrm>
              <a:off x="28622625" y="7250906"/>
              <a:ext cx="95250" cy="95250"/>
            </a:xfrm>
            <a:prstGeom prst="ellipse">
              <a:avLst/>
            </a:prstGeom>
            <a:solidFill>
              <a:schemeClr val="bg1">
                <a:lumMod val="65000"/>
              </a:schemeClr>
            </a:solid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28" name="Rectangle 27">
            <a:extLst>
              <a:ext uri="{FF2B5EF4-FFF2-40B4-BE49-F238E27FC236}">
                <a16:creationId xmlns:a16="http://schemas.microsoft.com/office/drawing/2014/main" id="{6A8ABCA1-EC98-4157-921A-7F7FF09EF58C}"/>
              </a:ext>
            </a:extLst>
          </xdr:cNvPr>
          <xdr:cNvSpPr/>
        </xdr:nvSpPr>
        <xdr:spPr>
          <a:xfrm>
            <a:off x="15675326" y="12938635"/>
            <a:ext cx="110109" cy="109375"/>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9" name="ZoneTexte 28">
            <a:extLst>
              <a:ext uri="{FF2B5EF4-FFF2-40B4-BE49-F238E27FC236}">
                <a16:creationId xmlns:a16="http://schemas.microsoft.com/office/drawing/2014/main" id="{A449A1D5-D216-42B4-8335-A7B45CA31332}"/>
              </a:ext>
            </a:extLst>
          </xdr:cNvPr>
          <xdr:cNvSpPr txBox="1"/>
        </xdr:nvSpPr>
        <xdr:spPr>
          <a:xfrm>
            <a:off x="15983839" y="12486571"/>
            <a:ext cx="1741394" cy="682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aseline="0"/>
              <a:t>Entretien-réparation</a:t>
            </a:r>
          </a:p>
          <a:p>
            <a:r>
              <a:rPr lang="fr-FR" sz="1200" baseline="0"/>
              <a:t>Travaux par tiers</a:t>
            </a: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dk1"/>
                </a:solidFill>
                <a:effectLst/>
                <a:latin typeface="+mn-lt"/>
                <a:ea typeface="+mn-ea"/>
                <a:cs typeface="+mn-cs"/>
              </a:rPr>
              <a:t>Autres charges (1)</a:t>
            </a:r>
            <a:endParaRPr lang="fr-FR" sz="1400">
              <a:effectLst/>
            </a:endParaRPr>
          </a:p>
          <a:p>
            <a:endParaRPr lang="fr-FR" sz="1200" baseline="0"/>
          </a:p>
        </xdr:txBody>
      </xdr:sp>
      <xdr:grpSp>
        <xdr:nvGrpSpPr>
          <xdr:cNvPr id="30" name="Groupe 29">
            <a:extLst>
              <a:ext uri="{FF2B5EF4-FFF2-40B4-BE49-F238E27FC236}">
                <a16:creationId xmlns:a16="http://schemas.microsoft.com/office/drawing/2014/main" id="{E89A01A7-3EA4-411E-AF36-9891309A3175}"/>
              </a:ext>
            </a:extLst>
          </xdr:cNvPr>
          <xdr:cNvGrpSpPr/>
        </xdr:nvGrpSpPr>
        <xdr:grpSpPr>
          <a:xfrm>
            <a:off x="15826980" y="12596936"/>
            <a:ext cx="206335" cy="65587"/>
            <a:chOff x="28515469" y="7250906"/>
            <a:chExt cx="297656" cy="95250"/>
          </a:xfrm>
          <a:solidFill>
            <a:srgbClr val="CC00CC"/>
          </a:solidFill>
        </xdr:grpSpPr>
        <xdr:cxnSp macro="">
          <xdr:nvCxnSpPr>
            <xdr:cNvPr id="36" name="Connecteur droit 35">
              <a:extLst>
                <a:ext uri="{FF2B5EF4-FFF2-40B4-BE49-F238E27FC236}">
                  <a16:creationId xmlns:a16="http://schemas.microsoft.com/office/drawing/2014/main" id="{246EFC1A-044A-4278-A225-CB415BA88B4C}"/>
                </a:ext>
              </a:extLst>
            </xdr:cNvPr>
            <xdr:cNvCxnSpPr/>
          </xdr:nvCxnSpPr>
          <xdr:spPr>
            <a:xfrm>
              <a:off x="28515469" y="7298531"/>
              <a:ext cx="297656" cy="0"/>
            </a:xfrm>
            <a:prstGeom prst="line">
              <a:avLst/>
            </a:prstGeom>
            <a:grpFill/>
            <a:ln w="28575" cap="rnd">
              <a:solidFill>
                <a:srgbClr val="CC00CC"/>
              </a:solidFill>
            </a:ln>
          </xdr:spPr>
          <xdr:style>
            <a:lnRef idx="1">
              <a:schemeClr val="accent1"/>
            </a:lnRef>
            <a:fillRef idx="0">
              <a:schemeClr val="accent1"/>
            </a:fillRef>
            <a:effectRef idx="0">
              <a:schemeClr val="accent1"/>
            </a:effectRef>
            <a:fontRef idx="minor">
              <a:schemeClr val="tx1"/>
            </a:fontRef>
          </xdr:style>
        </xdr:cxnSp>
        <xdr:sp macro="" textlink="">
          <xdr:nvSpPr>
            <xdr:cNvPr id="37" name="Ellipse 36">
              <a:extLst>
                <a:ext uri="{FF2B5EF4-FFF2-40B4-BE49-F238E27FC236}">
                  <a16:creationId xmlns:a16="http://schemas.microsoft.com/office/drawing/2014/main" id="{37F661A9-4A9B-49F9-A759-9644FF963FDB}"/>
                </a:ext>
              </a:extLst>
            </xdr:cNvPr>
            <xdr:cNvSpPr/>
          </xdr:nvSpPr>
          <xdr:spPr>
            <a:xfrm>
              <a:off x="28622625" y="7250906"/>
              <a:ext cx="95250" cy="95250"/>
            </a:xfrm>
            <a:prstGeom prst="ellipse">
              <a:avLst/>
            </a:prstGeom>
            <a:grpFill/>
            <a:ln w="28575">
              <a:solidFill>
                <a:srgbClr val="CC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nvGrpSpPr>
          <xdr:cNvPr id="31" name="Groupe 30">
            <a:extLst>
              <a:ext uri="{FF2B5EF4-FFF2-40B4-BE49-F238E27FC236}">
                <a16:creationId xmlns:a16="http://schemas.microsoft.com/office/drawing/2014/main" id="{3C66ABD9-E4FA-4609-BA6C-5BE2218B94A0}"/>
              </a:ext>
            </a:extLst>
          </xdr:cNvPr>
          <xdr:cNvGrpSpPr/>
        </xdr:nvGrpSpPr>
        <xdr:grpSpPr>
          <a:xfrm>
            <a:off x="15822498" y="12771132"/>
            <a:ext cx="206335" cy="65587"/>
            <a:chOff x="28515469" y="7250906"/>
            <a:chExt cx="297656" cy="95250"/>
          </a:xfrm>
          <a:solidFill>
            <a:schemeClr val="accent6">
              <a:lumMod val="75000"/>
            </a:schemeClr>
          </a:solidFill>
        </xdr:grpSpPr>
        <xdr:cxnSp macro="">
          <xdr:nvCxnSpPr>
            <xdr:cNvPr id="34" name="Connecteur droit 33">
              <a:extLst>
                <a:ext uri="{FF2B5EF4-FFF2-40B4-BE49-F238E27FC236}">
                  <a16:creationId xmlns:a16="http://schemas.microsoft.com/office/drawing/2014/main" id="{18121394-A3B9-4ABC-8FE6-F1C2CA9E95B1}"/>
                </a:ext>
              </a:extLst>
            </xdr:cNvPr>
            <xdr:cNvCxnSpPr/>
          </xdr:nvCxnSpPr>
          <xdr:spPr>
            <a:xfrm>
              <a:off x="28515469" y="7298531"/>
              <a:ext cx="297656" cy="0"/>
            </a:xfrm>
            <a:prstGeom prst="line">
              <a:avLst/>
            </a:prstGeom>
            <a:grpFill/>
            <a:ln w="28575" cap="rnd">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5" name="Ellipse 34">
              <a:extLst>
                <a:ext uri="{FF2B5EF4-FFF2-40B4-BE49-F238E27FC236}">
                  <a16:creationId xmlns:a16="http://schemas.microsoft.com/office/drawing/2014/main" id="{B0021EEE-2447-4D7D-A5B7-F639AB5B779A}"/>
                </a:ext>
              </a:extLst>
            </xdr:cNvPr>
            <xdr:cNvSpPr/>
          </xdr:nvSpPr>
          <xdr:spPr>
            <a:xfrm>
              <a:off x="28622625" y="7250906"/>
              <a:ext cx="95250" cy="95250"/>
            </a:xfrm>
            <a:prstGeom prst="ellipse">
              <a:avLst/>
            </a:prstGeom>
            <a:grp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32" name="Rectangle 31">
            <a:extLst>
              <a:ext uri="{FF2B5EF4-FFF2-40B4-BE49-F238E27FC236}">
                <a16:creationId xmlns:a16="http://schemas.microsoft.com/office/drawing/2014/main" id="{BC1BD79A-C4C1-4438-8EFC-2DFF933BDC8F}"/>
              </a:ext>
            </a:extLst>
          </xdr:cNvPr>
          <xdr:cNvSpPr/>
        </xdr:nvSpPr>
        <xdr:spPr>
          <a:xfrm>
            <a:off x="15679848" y="12571742"/>
            <a:ext cx="110109" cy="109375"/>
          </a:xfrm>
          <a:prstGeom prst="rect">
            <a:avLst/>
          </a:prstGeom>
          <a:solidFill>
            <a:srgbClr val="CC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3" name="Rectangle 32">
            <a:extLst>
              <a:ext uri="{FF2B5EF4-FFF2-40B4-BE49-F238E27FC236}">
                <a16:creationId xmlns:a16="http://schemas.microsoft.com/office/drawing/2014/main" id="{3BEE8DF9-77DF-435E-8A05-472362CE1BFB}"/>
              </a:ext>
            </a:extLst>
          </xdr:cNvPr>
          <xdr:cNvSpPr/>
        </xdr:nvSpPr>
        <xdr:spPr>
          <a:xfrm>
            <a:off x="15681162" y="12742482"/>
            <a:ext cx="110109" cy="110410"/>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33</xdr:col>
      <xdr:colOff>58877</xdr:colOff>
      <xdr:row>21</xdr:row>
      <xdr:rowOff>54579</xdr:rowOff>
    </xdr:from>
    <xdr:to>
      <xdr:col>43</xdr:col>
      <xdr:colOff>100999</xdr:colOff>
      <xdr:row>24</xdr:row>
      <xdr:rowOff>171519</xdr:rowOff>
    </xdr:to>
    <xdr:grpSp>
      <xdr:nvGrpSpPr>
        <xdr:cNvPr id="40" name="Groupe 39">
          <a:extLst>
            <a:ext uri="{FF2B5EF4-FFF2-40B4-BE49-F238E27FC236}">
              <a16:creationId xmlns:a16="http://schemas.microsoft.com/office/drawing/2014/main" id="{F969DA2C-7CA2-4DEA-8B18-BB6714F78007}"/>
            </a:ext>
          </a:extLst>
        </xdr:cNvPr>
        <xdr:cNvGrpSpPr/>
      </xdr:nvGrpSpPr>
      <xdr:grpSpPr>
        <a:xfrm>
          <a:off x="9612452" y="4636104"/>
          <a:ext cx="2899622" cy="688440"/>
          <a:chOff x="12315496" y="12450028"/>
          <a:chExt cx="2822762" cy="674765"/>
        </a:xfrm>
      </xdr:grpSpPr>
      <xdr:grpSp>
        <xdr:nvGrpSpPr>
          <xdr:cNvPr id="41" name="Groupe 40">
            <a:extLst>
              <a:ext uri="{FF2B5EF4-FFF2-40B4-BE49-F238E27FC236}">
                <a16:creationId xmlns:a16="http://schemas.microsoft.com/office/drawing/2014/main" id="{0F4C4E06-55AE-467B-B72A-D1E121384CDE}"/>
              </a:ext>
            </a:extLst>
          </xdr:cNvPr>
          <xdr:cNvGrpSpPr/>
        </xdr:nvGrpSpPr>
        <xdr:grpSpPr>
          <a:xfrm>
            <a:off x="12472584" y="12740889"/>
            <a:ext cx="206335" cy="65587"/>
            <a:chOff x="28515469" y="7250906"/>
            <a:chExt cx="297656" cy="95250"/>
          </a:xfrm>
          <a:solidFill>
            <a:srgbClr val="0070C0"/>
          </a:solidFill>
        </xdr:grpSpPr>
        <xdr:cxnSp macro="">
          <xdr:nvCxnSpPr>
            <xdr:cNvPr id="52" name="Connecteur droit 51">
              <a:extLst>
                <a:ext uri="{FF2B5EF4-FFF2-40B4-BE49-F238E27FC236}">
                  <a16:creationId xmlns:a16="http://schemas.microsoft.com/office/drawing/2014/main" id="{017E836A-235E-4548-BB75-5199A5B95CFD}"/>
                </a:ext>
              </a:extLst>
            </xdr:cNvPr>
            <xdr:cNvCxnSpPr/>
          </xdr:nvCxnSpPr>
          <xdr:spPr>
            <a:xfrm>
              <a:off x="28515469" y="7298531"/>
              <a:ext cx="297656" cy="0"/>
            </a:xfrm>
            <a:prstGeom prst="line">
              <a:avLst/>
            </a:prstGeom>
            <a:grpFill/>
            <a:ln w="28575" cap="rnd">
              <a:solidFill>
                <a:srgbClr val="0070C0"/>
              </a:solidFill>
            </a:ln>
          </xdr:spPr>
          <xdr:style>
            <a:lnRef idx="1">
              <a:schemeClr val="accent1"/>
            </a:lnRef>
            <a:fillRef idx="0">
              <a:schemeClr val="accent1"/>
            </a:fillRef>
            <a:effectRef idx="0">
              <a:schemeClr val="accent1"/>
            </a:effectRef>
            <a:fontRef idx="minor">
              <a:schemeClr val="tx1"/>
            </a:fontRef>
          </xdr:style>
        </xdr:cxnSp>
        <xdr:sp macro="" textlink="">
          <xdr:nvSpPr>
            <xdr:cNvPr id="53" name="Ellipse 52">
              <a:extLst>
                <a:ext uri="{FF2B5EF4-FFF2-40B4-BE49-F238E27FC236}">
                  <a16:creationId xmlns:a16="http://schemas.microsoft.com/office/drawing/2014/main" id="{889F8B91-AB04-4975-81B7-0FDC220DA69C}"/>
                </a:ext>
              </a:extLst>
            </xdr:cNvPr>
            <xdr:cNvSpPr/>
          </xdr:nvSpPr>
          <xdr:spPr>
            <a:xfrm>
              <a:off x="28622625" y="7250906"/>
              <a:ext cx="95250" cy="95250"/>
            </a:xfrm>
            <a:prstGeom prst="ellipse">
              <a:avLst/>
            </a:prstGeom>
            <a:grp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42" name="Rectangle 41">
            <a:extLst>
              <a:ext uri="{FF2B5EF4-FFF2-40B4-BE49-F238E27FC236}">
                <a16:creationId xmlns:a16="http://schemas.microsoft.com/office/drawing/2014/main" id="{EE36C9D0-7AEC-48AB-8498-741D9968ED27}"/>
              </a:ext>
            </a:extLst>
          </xdr:cNvPr>
          <xdr:cNvSpPr/>
        </xdr:nvSpPr>
        <xdr:spPr>
          <a:xfrm>
            <a:off x="12321534" y="12714303"/>
            <a:ext cx="110109" cy="10937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3" name="ZoneTexte 42">
            <a:extLst>
              <a:ext uri="{FF2B5EF4-FFF2-40B4-BE49-F238E27FC236}">
                <a16:creationId xmlns:a16="http://schemas.microsoft.com/office/drawing/2014/main" id="{CDB3A715-CF2C-4F1A-9EC1-D92DD6380820}"/>
              </a:ext>
            </a:extLst>
          </xdr:cNvPr>
          <xdr:cNvSpPr txBox="1"/>
        </xdr:nvSpPr>
        <xdr:spPr>
          <a:xfrm>
            <a:off x="12641587" y="12450028"/>
            <a:ext cx="2496671" cy="674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Phytos</a:t>
            </a:r>
          </a:p>
          <a:p>
            <a:r>
              <a:rPr lang="fr-FR" sz="1200"/>
              <a:t>Irrigation (énergie</a:t>
            </a:r>
            <a:r>
              <a:rPr lang="fr-FR" sz="1200" baseline="0"/>
              <a:t> + redevence)</a:t>
            </a: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dk1"/>
                </a:solidFill>
                <a:effectLst/>
                <a:latin typeface="+mn-lt"/>
                <a:ea typeface="+mn-ea"/>
                <a:cs typeface="+mn-cs"/>
              </a:rPr>
              <a:t>Autres intrants</a:t>
            </a:r>
            <a:endParaRPr lang="fr-FR" sz="1200">
              <a:effectLst/>
            </a:endParaRPr>
          </a:p>
        </xdr:txBody>
      </xdr:sp>
      <xdr:grpSp>
        <xdr:nvGrpSpPr>
          <xdr:cNvPr id="44" name="Groupe 43">
            <a:extLst>
              <a:ext uri="{FF2B5EF4-FFF2-40B4-BE49-F238E27FC236}">
                <a16:creationId xmlns:a16="http://schemas.microsoft.com/office/drawing/2014/main" id="{F372A607-E73E-46AE-A7DB-4F4E7CB5A926}"/>
              </a:ext>
            </a:extLst>
          </xdr:cNvPr>
          <xdr:cNvGrpSpPr/>
        </xdr:nvGrpSpPr>
        <xdr:grpSpPr>
          <a:xfrm>
            <a:off x="12473213" y="12554330"/>
            <a:ext cx="206335" cy="65587"/>
            <a:chOff x="28515469" y="7250906"/>
            <a:chExt cx="297656" cy="95250"/>
          </a:xfrm>
          <a:solidFill>
            <a:srgbClr val="00B0F0"/>
          </a:solidFill>
        </xdr:grpSpPr>
        <xdr:cxnSp macro="">
          <xdr:nvCxnSpPr>
            <xdr:cNvPr id="50" name="Connecteur droit 49">
              <a:extLst>
                <a:ext uri="{FF2B5EF4-FFF2-40B4-BE49-F238E27FC236}">
                  <a16:creationId xmlns:a16="http://schemas.microsoft.com/office/drawing/2014/main" id="{FBE375CE-1308-4B22-937C-BABAC26548CE}"/>
                </a:ext>
              </a:extLst>
            </xdr:cNvPr>
            <xdr:cNvCxnSpPr/>
          </xdr:nvCxnSpPr>
          <xdr:spPr>
            <a:xfrm>
              <a:off x="28515469" y="7298531"/>
              <a:ext cx="297656" cy="0"/>
            </a:xfrm>
            <a:prstGeom prst="line">
              <a:avLst/>
            </a:prstGeom>
            <a:grpFill/>
            <a:ln w="28575" cap="rnd">
              <a:solidFill>
                <a:srgbClr val="00B0F0"/>
              </a:solidFill>
            </a:ln>
          </xdr:spPr>
          <xdr:style>
            <a:lnRef idx="1">
              <a:schemeClr val="accent1"/>
            </a:lnRef>
            <a:fillRef idx="0">
              <a:schemeClr val="accent1"/>
            </a:fillRef>
            <a:effectRef idx="0">
              <a:schemeClr val="accent1"/>
            </a:effectRef>
            <a:fontRef idx="minor">
              <a:schemeClr val="tx1"/>
            </a:fontRef>
          </xdr:style>
        </xdr:cxnSp>
        <xdr:sp macro="" textlink="">
          <xdr:nvSpPr>
            <xdr:cNvPr id="51" name="Ellipse 50">
              <a:extLst>
                <a:ext uri="{FF2B5EF4-FFF2-40B4-BE49-F238E27FC236}">
                  <a16:creationId xmlns:a16="http://schemas.microsoft.com/office/drawing/2014/main" id="{68876154-F713-4315-8F22-E53D29EC282E}"/>
                </a:ext>
              </a:extLst>
            </xdr:cNvPr>
            <xdr:cNvSpPr/>
          </xdr:nvSpPr>
          <xdr:spPr>
            <a:xfrm>
              <a:off x="28622625" y="7250906"/>
              <a:ext cx="95250" cy="95250"/>
            </a:xfrm>
            <a:prstGeom prst="ellipse">
              <a:avLst/>
            </a:prstGeom>
            <a:grp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45" name="Rectangle 44">
            <a:extLst>
              <a:ext uri="{FF2B5EF4-FFF2-40B4-BE49-F238E27FC236}">
                <a16:creationId xmlns:a16="http://schemas.microsoft.com/office/drawing/2014/main" id="{327966DE-513C-4CCF-BE1E-91A6FB25E6CE}"/>
              </a:ext>
            </a:extLst>
          </xdr:cNvPr>
          <xdr:cNvSpPr/>
        </xdr:nvSpPr>
        <xdr:spPr>
          <a:xfrm>
            <a:off x="12315496" y="12537435"/>
            <a:ext cx="110109" cy="109375"/>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46" name="Groupe 45">
            <a:extLst>
              <a:ext uri="{FF2B5EF4-FFF2-40B4-BE49-F238E27FC236}">
                <a16:creationId xmlns:a16="http://schemas.microsoft.com/office/drawing/2014/main" id="{8F6E4905-45B6-4F3C-8E93-2A4DCD9B0525}"/>
              </a:ext>
            </a:extLst>
          </xdr:cNvPr>
          <xdr:cNvGrpSpPr/>
        </xdr:nvGrpSpPr>
        <xdr:grpSpPr>
          <a:xfrm>
            <a:off x="12467878" y="12936184"/>
            <a:ext cx="209608" cy="65587"/>
            <a:chOff x="12624408" y="13678293"/>
            <a:chExt cx="302378" cy="94615"/>
          </a:xfrm>
        </xdr:grpSpPr>
        <xdr:cxnSp macro="">
          <xdr:nvCxnSpPr>
            <xdr:cNvPr id="48" name="Connecteur droit 47">
              <a:extLst>
                <a:ext uri="{FF2B5EF4-FFF2-40B4-BE49-F238E27FC236}">
                  <a16:creationId xmlns:a16="http://schemas.microsoft.com/office/drawing/2014/main" id="{C042A622-C3E3-4056-B498-ADBDB5457C76}"/>
                </a:ext>
              </a:extLst>
            </xdr:cNvPr>
            <xdr:cNvCxnSpPr/>
          </xdr:nvCxnSpPr>
          <xdr:spPr>
            <a:xfrm>
              <a:off x="12624408" y="13720157"/>
              <a:ext cx="302378" cy="1285"/>
            </a:xfrm>
            <a:prstGeom prst="line">
              <a:avLst/>
            </a:prstGeom>
            <a:solidFill>
              <a:srgbClr val="CC9900"/>
            </a:solidFill>
            <a:ln w="28575" cap="rnd">
              <a:solidFill>
                <a:srgbClr val="FFC000"/>
              </a:solidFill>
            </a:ln>
          </xdr:spPr>
          <xdr:style>
            <a:lnRef idx="1">
              <a:schemeClr val="accent1"/>
            </a:lnRef>
            <a:fillRef idx="0">
              <a:schemeClr val="accent1"/>
            </a:fillRef>
            <a:effectRef idx="0">
              <a:schemeClr val="accent1"/>
            </a:effectRef>
            <a:fontRef idx="minor">
              <a:schemeClr val="tx1"/>
            </a:fontRef>
          </xdr:style>
        </xdr:cxnSp>
        <xdr:sp macro="" textlink="">
          <xdr:nvSpPr>
            <xdr:cNvPr id="49" name="Ellipse 48">
              <a:extLst>
                <a:ext uri="{FF2B5EF4-FFF2-40B4-BE49-F238E27FC236}">
                  <a16:creationId xmlns:a16="http://schemas.microsoft.com/office/drawing/2014/main" id="{408DF270-5E6D-41B1-8041-022BFC7AA1C5}"/>
                </a:ext>
              </a:extLst>
            </xdr:cNvPr>
            <xdr:cNvSpPr/>
          </xdr:nvSpPr>
          <xdr:spPr>
            <a:xfrm>
              <a:off x="12731564" y="13678293"/>
              <a:ext cx="95250" cy="94615"/>
            </a:xfrm>
            <a:prstGeom prst="ellipse">
              <a:avLst/>
            </a:prstGeom>
            <a:solidFill>
              <a:srgbClr val="FFC000"/>
            </a:solid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47" name="Rectangle 46">
            <a:extLst>
              <a:ext uri="{FF2B5EF4-FFF2-40B4-BE49-F238E27FC236}">
                <a16:creationId xmlns:a16="http://schemas.microsoft.com/office/drawing/2014/main" id="{4010BC17-15BC-4B95-80A1-1DBAB4AD3ADE}"/>
              </a:ext>
            </a:extLst>
          </xdr:cNvPr>
          <xdr:cNvSpPr/>
        </xdr:nvSpPr>
        <xdr:spPr>
          <a:xfrm>
            <a:off x="12320675" y="12911139"/>
            <a:ext cx="110109" cy="109375"/>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33</xdr:col>
      <xdr:colOff>80323</xdr:colOff>
      <xdr:row>24</xdr:row>
      <xdr:rowOff>106044</xdr:rowOff>
    </xdr:from>
    <xdr:to>
      <xdr:col>39</xdr:col>
      <xdr:colOff>278079</xdr:colOff>
      <xdr:row>28</xdr:row>
      <xdr:rowOff>34360</xdr:rowOff>
    </xdr:to>
    <xdr:grpSp>
      <xdr:nvGrpSpPr>
        <xdr:cNvPr id="55" name="Groupe 54">
          <a:extLst>
            <a:ext uri="{FF2B5EF4-FFF2-40B4-BE49-F238E27FC236}">
              <a16:creationId xmlns:a16="http://schemas.microsoft.com/office/drawing/2014/main" id="{E2A5059A-0A8C-4E6D-BF02-C9586799CB96}"/>
            </a:ext>
          </a:extLst>
        </xdr:cNvPr>
        <xdr:cNvGrpSpPr/>
      </xdr:nvGrpSpPr>
      <xdr:grpSpPr>
        <a:xfrm>
          <a:off x="9633898" y="5259069"/>
          <a:ext cx="1912256" cy="690316"/>
          <a:chOff x="12320828" y="13013120"/>
          <a:chExt cx="1861568" cy="676603"/>
        </a:xfrm>
      </xdr:grpSpPr>
      <xdr:grpSp>
        <xdr:nvGrpSpPr>
          <xdr:cNvPr id="56" name="Groupe 55">
            <a:extLst>
              <a:ext uri="{FF2B5EF4-FFF2-40B4-BE49-F238E27FC236}">
                <a16:creationId xmlns:a16="http://schemas.microsoft.com/office/drawing/2014/main" id="{D18DEBD6-EDF8-405F-8769-AEE56A6D82B3}"/>
              </a:ext>
            </a:extLst>
          </xdr:cNvPr>
          <xdr:cNvGrpSpPr/>
        </xdr:nvGrpSpPr>
        <xdr:grpSpPr>
          <a:xfrm>
            <a:off x="12468261" y="13112744"/>
            <a:ext cx="206335" cy="65587"/>
            <a:chOff x="28515469" y="7250906"/>
            <a:chExt cx="297656" cy="95250"/>
          </a:xfrm>
          <a:solidFill>
            <a:srgbClr val="CC9900"/>
          </a:solidFill>
        </xdr:grpSpPr>
        <xdr:cxnSp macro="">
          <xdr:nvCxnSpPr>
            <xdr:cNvPr id="67" name="Connecteur droit 66">
              <a:extLst>
                <a:ext uri="{FF2B5EF4-FFF2-40B4-BE49-F238E27FC236}">
                  <a16:creationId xmlns:a16="http://schemas.microsoft.com/office/drawing/2014/main" id="{03CF9000-3417-44C8-B34E-804692C2AC87}"/>
                </a:ext>
              </a:extLst>
            </xdr:cNvPr>
            <xdr:cNvCxnSpPr/>
          </xdr:nvCxnSpPr>
          <xdr:spPr>
            <a:xfrm>
              <a:off x="28515469" y="7298531"/>
              <a:ext cx="297656" cy="0"/>
            </a:xfrm>
            <a:prstGeom prst="line">
              <a:avLst/>
            </a:prstGeom>
            <a:grpFill/>
            <a:ln w="28575" cap="rnd">
              <a:solidFill>
                <a:srgbClr val="CC9900"/>
              </a:solidFill>
            </a:ln>
          </xdr:spPr>
          <xdr:style>
            <a:lnRef idx="1">
              <a:schemeClr val="accent1"/>
            </a:lnRef>
            <a:fillRef idx="0">
              <a:schemeClr val="accent1"/>
            </a:fillRef>
            <a:effectRef idx="0">
              <a:schemeClr val="accent1"/>
            </a:effectRef>
            <a:fontRef idx="minor">
              <a:schemeClr val="tx1"/>
            </a:fontRef>
          </xdr:style>
        </xdr:cxnSp>
        <xdr:sp macro="" textlink="">
          <xdr:nvSpPr>
            <xdr:cNvPr id="68" name="Ellipse 67">
              <a:extLst>
                <a:ext uri="{FF2B5EF4-FFF2-40B4-BE49-F238E27FC236}">
                  <a16:creationId xmlns:a16="http://schemas.microsoft.com/office/drawing/2014/main" id="{B7B9815B-59B8-481E-A3E3-CDEFE6B2A7CB}"/>
                </a:ext>
              </a:extLst>
            </xdr:cNvPr>
            <xdr:cNvSpPr/>
          </xdr:nvSpPr>
          <xdr:spPr>
            <a:xfrm>
              <a:off x="28622625" y="7250906"/>
              <a:ext cx="95250" cy="95250"/>
            </a:xfrm>
            <a:prstGeom prst="ellipse">
              <a:avLst/>
            </a:prstGeom>
            <a:grpFill/>
            <a:ln w="28575">
              <a:solidFill>
                <a:srgbClr val="CC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57" name="Rectangle 56">
            <a:extLst>
              <a:ext uri="{FF2B5EF4-FFF2-40B4-BE49-F238E27FC236}">
                <a16:creationId xmlns:a16="http://schemas.microsoft.com/office/drawing/2014/main" id="{77EE8B93-8FBC-4025-A680-BA451D84947C}"/>
              </a:ext>
            </a:extLst>
          </xdr:cNvPr>
          <xdr:cNvSpPr/>
        </xdr:nvSpPr>
        <xdr:spPr>
          <a:xfrm>
            <a:off x="12321058" y="13087699"/>
            <a:ext cx="110109" cy="109375"/>
          </a:xfrm>
          <a:prstGeom prst="rect">
            <a:avLst/>
          </a:prstGeom>
          <a:solidFill>
            <a:srgbClr val="CC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58" name="Groupe 57">
            <a:extLst>
              <a:ext uri="{FF2B5EF4-FFF2-40B4-BE49-F238E27FC236}">
                <a16:creationId xmlns:a16="http://schemas.microsoft.com/office/drawing/2014/main" id="{77A524C7-6929-414E-91C8-FD24A0A36ECF}"/>
              </a:ext>
            </a:extLst>
          </xdr:cNvPr>
          <xdr:cNvGrpSpPr/>
        </xdr:nvGrpSpPr>
        <xdr:grpSpPr>
          <a:xfrm>
            <a:off x="12476202" y="13498477"/>
            <a:ext cx="206335" cy="65587"/>
            <a:chOff x="28515469" y="7250906"/>
            <a:chExt cx="297656" cy="95250"/>
          </a:xfrm>
          <a:solidFill>
            <a:srgbClr val="7030A0"/>
          </a:solidFill>
        </xdr:grpSpPr>
        <xdr:cxnSp macro="">
          <xdr:nvCxnSpPr>
            <xdr:cNvPr id="65" name="Connecteur droit 64">
              <a:extLst>
                <a:ext uri="{FF2B5EF4-FFF2-40B4-BE49-F238E27FC236}">
                  <a16:creationId xmlns:a16="http://schemas.microsoft.com/office/drawing/2014/main" id="{1610633B-398C-44FA-891B-058F4AA5D8B2}"/>
                </a:ext>
              </a:extLst>
            </xdr:cNvPr>
            <xdr:cNvCxnSpPr/>
          </xdr:nvCxnSpPr>
          <xdr:spPr>
            <a:xfrm>
              <a:off x="28515469" y="7298531"/>
              <a:ext cx="297656" cy="0"/>
            </a:xfrm>
            <a:prstGeom prst="line">
              <a:avLst/>
            </a:prstGeom>
            <a:grpFill/>
            <a:ln w="28575" cap="rnd">
              <a:solidFill>
                <a:srgbClr val="7030A0"/>
              </a:solidFill>
            </a:ln>
          </xdr:spPr>
          <xdr:style>
            <a:lnRef idx="1">
              <a:schemeClr val="accent1"/>
            </a:lnRef>
            <a:fillRef idx="0">
              <a:schemeClr val="accent1"/>
            </a:fillRef>
            <a:effectRef idx="0">
              <a:schemeClr val="accent1"/>
            </a:effectRef>
            <a:fontRef idx="minor">
              <a:schemeClr val="tx1"/>
            </a:fontRef>
          </xdr:style>
        </xdr:cxnSp>
        <xdr:sp macro="" textlink="">
          <xdr:nvSpPr>
            <xdr:cNvPr id="66" name="Ellipse 65">
              <a:extLst>
                <a:ext uri="{FF2B5EF4-FFF2-40B4-BE49-F238E27FC236}">
                  <a16:creationId xmlns:a16="http://schemas.microsoft.com/office/drawing/2014/main" id="{AB1BE8F7-4185-4C19-A720-31C6CB553963}"/>
                </a:ext>
              </a:extLst>
            </xdr:cNvPr>
            <xdr:cNvSpPr/>
          </xdr:nvSpPr>
          <xdr:spPr>
            <a:xfrm>
              <a:off x="28622625" y="7250906"/>
              <a:ext cx="95250" cy="95250"/>
            </a:xfrm>
            <a:prstGeom prst="ellipse">
              <a:avLst/>
            </a:prstGeom>
            <a:grp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59" name="Rectangle 58">
            <a:extLst>
              <a:ext uri="{FF2B5EF4-FFF2-40B4-BE49-F238E27FC236}">
                <a16:creationId xmlns:a16="http://schemas.microsoft.com/office/drawing/2014/main" id="{013BF10F-1ACC-4242-B53C-F417E7549344}"/>
              </a:ext>
            </a:extLst>
          </xdr:cNvPr>
          <xdr:cNvSpPr/>
        </xdr:nvSpPr>
        <xdr:spPr>
          <a:xfrm>
            <a:off x="12326278" y="13468403"/>
            <a:ext cx="110109" cy="109375"/>
          </a:xfrm>
          <a:prstGeom prst="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60" name="Groupe 59">
            <a:extLst>
              <a:ext uri="{FF2B5EF4-FFF2-40B4-BE49-F238E27FC236}">
                <a16:creationId xmlns:a16="http://schemas.microsoft.com/office/drawing/2014/main" id="{53B6990F-F620-4DFD-A5B6-34BB3DCF95D4}"/>
              </a:ext>
            </a:extLst>
          </xdr:cNvPr>
          <xdr:cNvGrpSpPr/>
        </xdr:nvGrpSpPr>
        <xdr:grpSpPr>
          <a:xfrm>
            <a:off x="12470284" y="13296867"/>
            <a:ext cx="208722" cy="65587"/>
            <a:chOff x="12620244" y="13907596"/>
            <a:chExt cx="301099" cy="94615"/>
          </a:xfrm>
        </xdr:grpSpPr>
        <xdr:cxnSp macro="">
          <xdr:nvCxnSpPr>
            <xdr:cNvPr id="63" name="Connecteur droit 62">
              <a:extLst>
                <a:ext uri="{FF2B5EF4-FFF2-40B4-BE49-F238E27FC236}">
                  <a16:creationId xmlns:a16="http://schemas.microsoft.com/office/drawing/2014/main" id="{DA237D31-0FFB-4565-AA8C-CE97CC0422B2}"/>
                </a:ext>
              </a:extLst>
            </xdr:cNvPr>
            <xdr:cNvCxnSpPr/>
          </xdr:nvCxnSpPr>
          <xdr:spPr>
            <a:xfrm>
              <a:off x="12620244" y="13960345"/>
              <a:ext cx="301099" cy="6026"/>
            </a:xfrm>
            <a:prstGeom prst="line">
              <a:avLst/>
            </a:prstGeom>
            <a:solidFill>
              <a:srgbClr val="CC9900"/>
            </a:solidFill>
            <a:ln w="28575" cap="rnd">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64" name="Ellipse 63">
              <a:extLst>
                <a:ext uri="{FF2B5EF4-FFF2-40B4-BE49-F238E27FC236}">
                  <a16:creationId xmlns:a16="http://schemas.microsoft.com/office/drawing/2014/main" id="{81FE1B15-C6A2-459B-8D12-FCFF54318C1D}"/>
                </a:ext>
              </a:extLst>
            </xdr:cNvPr>
            <xdr:cNvSpPr/>
          </xdr:nvSpPr>
          <xdr:spPr>
            <a:xfrm>
              <a:off x="12709857" y="13907596"/>
              <a:ext cx="95249" cy="94615"/>
            </a:xfrm>
            <a:prstGeom prst="ellipse">
              <a:avLst/>
            </a:prstGeom>
            <a:solidFill>
              <a:schemeClr val="accent6">
                <a:lumMod val="50000"/>
              </a:schemeClr>
            </a:solidFill>
            <a:ln w="28575">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61" name="Rectangle 60">
            <a:extLst>
              <a:ext uri="{FF2B5EF4-FFF2-40B4-BE49-F238E27FC236}">
                <a16:creationId xmlns:a16="http://schemas.microsoft.com/office/drawing/2014/main" id="{FC84DDB9-2B1C-4F4F-AEE2-D095FABDF9EF}"/>
              </a:ext>
            </a:extLst>
          </xdr:cNvPr>
          <xdr:cNvSpPr/>
        </xdr:nvSpPr>
        <xdr:spPr>
          <a:xfrm>
            <a:off x="12320828" y="13271822"/>
            <a:ext cx="110109" cy="109375"/>
          </a:xfrm>
          <a:prstGeom prst="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62" name="ZoneTexte 61">
            <a:extLst>
              <a:ext uri="{FF2B5EF4-FFF2-40B4-BE49-F238E27FC236}">
                <a16:creationId xmlns:a16="http://schemas.microsoft.com/office/drawing/2014/main" id="{1C0A4AC4-455C-4407-A687-0882EC0917E8}"/>
              </a:ext>
            </a:extLst>
          </xdr:cNvPr>
          <xdr:cNvSpPr txBox="1"/>
        </xdr:nvSpPr>
        <xdr:spPr>
          <a:xfrm>
            <a:off x="12632120" y="13013120"/>
            <a:ext cx="1550276" cy="676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fr-FR" sz="1200">
                <a:solidFill>
                  <a:schemeClr val="dk1"/>
                </a:solidFill>
                <a:latin typeface="+mn-lt"/>
                <a:ea typeface="+mn-ea"/>
                <a:cs typeface="+mn-cs"/>
              </a:rPr>
              <a:t>Séchage</a:t>
            </a:r>
          </a:p>
          <a:p>
            <a:pPr marL="0" indent="0"/>
            <a:r>
              <a:rPr lang="fr-FR" sz="1200">
                <a:solidFill>
                  <a:schemeClr val="dk1"/>
                </a:solidFill>
                <a:latin typeface="+mn-lt"/>
                <a:ea typeface="+mn-ea"/>
                <a:cs typeface="+mn-cs"/>
              </a:rPr>
              <a:t>Stockage (énergie)</a:t>
            </a:r>
          </a:p>
          <a:p>
            <a:pPr marL="0" indent="0"/>
            <a:r>
              <a:rPr lang="fr-FR" sz="1200">
                <a:solidFill>
                  <a:schemeClr val="dk1"/>
                </a:solidFill>
                <a:latin typeface="+mn-lt"/>
                <a:ea typeface="+mn-ea"/>
                <a:cs typeface="+mn-cs"/>
              </a:rPr>
              <a:t>Carburant</a:t>
            </a:r>
          </a:p>
          <a:p>
            <a:pPr marL="0" indent="0"/>
            <a:endParaRPr lang="fr-FR" sz="1200">
              <a:solidFill>
                <a:schemeClr val="dk1"/>
              </a:solidFill>
              <a:latin typeface="+mn-lt"/>
              <a:ea typeface="+mn-ea"/>
              <a:cs typeface="+mn-cs"/>
            </a:endParaRPr>
          </a:p>
        </xdr:txBody>
      </xdr:sp>
    </xdr:grpSp>
    <xdr:clientData/>
  </xdr:twoCellAnchor>
  <xdr:twoCellAnchor editAs="oneCell">
    <xdr:from>
      <xdr:col>0</xdr:col>
      <xdr:colOff>0</xdr:colOff>
      <xdr:row>4</xdr:row>
      <xdr:rowOff>94012</xdr:rowOff>
    </xdr:from>
    <xdr:to>
      <xdr:col>33</xdr:col>
      <xdr:colOff>145700</xdr:colOff>
      <xdr:row>13</xdr:row>
      <xdr:rowOff>96051</xdr:rowOff>
    </xdr:to>
    <xdr:sp macro="" textlink="">
      <xdr:nvSpPr>
        <xdr:cNvPr id="80" name="ZoneTexte 79">
          <a:extLst>
            <a:ext uri="{FF2B5EF4-FFF2-40B4-BE49-F238E27FC236}">
              <a16:creationId xmlns:a16="http://schemas.microsoft.com/office/drawing/2014/main" id="{4FCCDC97-A74E-4CD8-A02C-91493A3B347F}"/>
            </a:ext>
          </a:extLst>
        </xdr:cNvPr>
        <xdr:cNvSpPr txBox="1"/>
      </xdr:nvSpPr>
      <xdr:spPr>
        <a:xfrm>
          <a:off x="0" y="894112"/>
          <a:ext cx="9699275" cy="1802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600" b="1"/>
            <a:t>ImpactCoutProduction</a:t>
          </a:r>
        </a:p>
        <a:p>
          <a:pPr algn="ctr"/>
          <a:endParaRPr lang="fr-FR" sz="1600" b="1"/>
        </a:p>
        <a:p>
          <a:pPr algn="ctr"/>
          <a:r>
            <a:rPr lang="fr-FR" sz="2600" b="1"/>
            <a:t>Pour vous situer, estimez rapidement les variations de vos charges en fonction de l'évolution du prix des intrants, de l'énergie…</a:t>
          </a:r>
        </a:p>
      </xdr:txBody>
    </xdr:sp>
    <xdr:clientData/>
  </xdr:twoCellAnchor>
  <xdr:twoCellAnchor editAs="oneCell">
    <xdr:from>
      <xdr:col>32</xdr:col>
      <xdr:colOff>272756</xdr:colOff>
      <xdr:row>0</xdr:row>
      <xdr:rowOff>38100</xdr:rowOff>
    </xdr:from>
    <xdr:to>
      <xdr:col>47</xdr:col>
      <xdr:colOff>108857</xdr:colOff>
      <xdr:row>12</xdr:row>
      <xdr:rowOff>119743</xdr:rowOff>
    </xdr:to>
    <xdr:sp macro="" textlink="">
      <xdr:nvSpPr>
        <xdr:cNvPr id="88" name="ZoneTexte 87">
          <a:extLst>
            <a:ext uri="{FF2B5EF4-FFF2-40B4-BE49-F238E27FC236}">
              <a16:creationId xmlns:a16="http://schemas.microsoft.com/office/drawing/2014/main" id="{57E6F5D7-90AB-4C5D-A540-275A5812A437}"/>
            </a:ext>
          </a:extLst>
        </xdr:cNvPr>
        <xdr:cNvSpPr txBox="1"/>
      </xdr:nvSpPr>
      <xdr:spPr>
        <a:xfrm>
          <a:off x="9540581" y="38100"/>
          <a:ext cx="4122351" cy="2481943"/>
        </a:xfrm>
        <a:prstGeom prst="rect">
          <a:avLst/>
        </a:prstGeom>
        <a:solidFill>
          <a:schemeClr val="lt1"/>
        </a:solidFill>
        <a:ln w="63500" cmpd="thickThin">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i="1">
              <a:solidFill>
                <a:schemeClr val="dk1"/>
              </a:solidFill>
              <a:effectLst/>
              <a:latin typeface="+mn-lt"/>
              <a:ea typeface="+mn-ea"/>
              <a:cs typeface="+mn-cs"/>
            </a:rPr>
            <a:t>ARVALIS - Institut du végétal décline toute responsabilité :</a:t>
          </a:r>
        </a:p>
        <a:p>
          <a:r>
            <a:rPr lang="fr-FR" sz="900" b="1" i="1">
              <a:solidFill>
                <a:schemeClr val="dk1"/>
              </a:solidFill>
              <a:effectLst/>
              <a:latin typeface="+mn-lt"/>
              <a:ea typeface="+mn-ea"/>
              <a:cs typeface="+mn-cs"/>
            </a:rPr>
            <a:t>- pour toute imprécision, inexactitude ou omission portant sur des informations disponibles. </a:t>
          </a:r>
        </a:p>
        <a:p>
          <a:r>
            <a:rPr lang="fr-FR" sz="900" b="1" i="1">
              <a:solidFill>
                <a:schemeClr val="dk1"/>
              </a:solidFill>
              <a:effectLst/>
              <a:latin typeface="+mn-lt"/>
              <a:ea typeface="+mn-ea"/>
              <a:cs typeface="+mn-cs"/>
            </a:rPr>
            <a:t> - pour tout résultat qui pourrait être obtenu par l'usage des informations disponibles.</a:t>
          </a:r>
        </a:p>
        <a:p>
          <a:r>
            <a:rPr lang="fr-FR" sz="900" b="1" i="1">
              <a:solidFill>
                <a:schemeClr val="dk1"/>
              </a:solidFill>
              <a:effectLst/>
              <a:latin typeface="+mn-lt"/>
              <a:ea typeface="+mn-ea"/>
              <a:cs typeface="+mn-cs"/>
            </a:rPr>
            <a:t>- pour tous dommages résultant d'une intrusion frauduleuse d'un tiers, ayant entraîné une modification des informations ou éléments mis à disposition.</a:t>
          </a:r>
        </a:p>
        <a:p>
          <a:r>
            <a:rPr lang="fr-FR" sz="900" b="1" i="1">
              <a:solidFill>
                <a:schemeClr val="dk1"/>
              </a:solidFill>
              <a:effectLst/>
              <a:latin typeface="+mn-lt"/>
              <a:ea typeface="+mn-ea"/>
              <a:cs typeface="+mn-cs"/>
            </a:rPr>
            <a:t>- et plus généralement pour tous dommages, directs ou indirects, quelles qu'en soient les causes, origines, natures ou conséquences, quand bien même ARVALIS - Institut du végétal aurait été avisée de la possibilité de tels dommages, provoqués à raison (i) de l'accès de quiconque aux informations ou de l'impossibilité d'y accéder, (ii) de l'utilisation des informations, incluant toutes détériorations ou virus qui pourraient infecter votre équipement informatique ou tout autre bien, et/ou (iii) du crédit accordé à une quelconque information provenant directement ou indirectement de l’outil</a:t>
          </a:r>
          <a:r>
            <a:rPr lang="fr-FR" sz="900" b="1" i="1" baseline="0">
              <a:solidFill>
                <a:schemeClr val="dk1"/>
              </a:solidFill>
              <a:effectLst/>
              <a:latin typeface="+mn-lt"/>
              <a:ea typeface="+mn-ea"/>
              <a:cs typeface="+mn-cs"/>
            </a:rPr>
            <a:t> "</a:t>
          </a:r>
          <a:r>
            <a:rPr lang="fr-FR" sz="900" b="1" i="1" u="sng">
              <a:solidFill>
                <a:sysClr val="windowText" lastClr="000000"/>
              </a:solidFill>
              <a:effectLst/>
              <a:latin typeface="+mn-lt"/>
              <a:ea typeface="+mn-ea"/>
              <a:cs typeface="+mn-cs"/>
            </a:rPr>
            <a:t>ImpactCoutProduction</a:t>
          </a:r>
          <a:r>
            <a:rPr lang="fr-FR" sz="900" b="1" i="1" u="none">
              <a:solidFill>
                <a:schemeClr val="dk1"/>
              </a:solidFill>
              <a:effectLst/>
              <a:latin typeface="+mn-lt"/>
              <a:ea typeface="+mn-ea"/>
              <a:cs typeface="+mn-cs"/>
            </a:rPr>
            <a:t>"</a:t>
          </a:r>
          <a:r>
            <a:rPr lang="fr-FR" sz="900" b="1" i="1">
              <a:solidFill>
                <a:schemeClr val="dk1"/>
              </a:solidFill>
              <a:effectLst/>
              <a:latin typeface="+mn-lt"/>
              <a:ea typeface="+mn-ea"/>
              <a:cs typeface="+mn-cs"/>
            </a:rPr>
            <a:t>.</a:t>
          </a:r>
        </a:p>
        <a:p>
          <a:r>
            <a:rPr lang="fr-FR" sz="1000" b="1" i="1">
              <a:solidFill>
                <a:schemeClr val="dk1"/>
              </a:solidFill>
              <a:effectLst/>
              <a:latin typeface="+mn-lt"/>
              <a:ea typeface="+mn-ea"/>
              <a:cs typeface="+mn-cs"/>
            </a:rPr>
            <a:t>Pour toute question, veuillez vous référer à l'onglet 'PRISE EN MAIN'</a:t>
          </a:r>
        </a:p>
        <a:p>
          <a:r>
            <a:rPr lang="fr-FR" sz="900" i="1">
              <a:solidFill>
                <a:schemeClr val="dk1"/>
              </a:solidFill>
              <a:effectLst/>
              <a:latin typeface="+mn-lt"/>
              <a:ea typeface="+mn-ea"/>
              <a:cs typeface="+mn-cs"/>
            </a:rPr>
            <a:t> </a:t>
          </a:r>
        </a:p>
        <a:p>
          <a:endParaRPr lang="fr-FR" sz="900" i="1"/>
        </a:p>
      </xdr:txBody>
    </xdr:sp>
    <xdr:clientData/>
  </xdr:twoCellAnchor>
  <xdr:twoCellAnchor>
    <xdr:from>
      <xdr:col>6</xdr:col>
      <xdr:colOff>76200</xdr:colOff>
      <xdr:row>0</xdr:row>
      <xdr:rowOff>142875</xdr:rowOff>
    </xdr:from>
    <xdr:to>
      <xdr:col>27</xdr:col>
      <xdr:colOff>82344</xdr:colOff>
      <xdr:row>4</xdr:row>
      <xdr:rowOff>104633</xdr:rowOff>
    </xdr:to>
    <xdr:grpSp>
      <xdr:nvGrpSpPr>
        <xdr:cNvPr id="2" name="Groupe 1">
          <a:extLst>
            <a:ext uri="{FF2B5EF4-FFF2-40B4-BE49-F238E27FC236}">
              <a16:creationId xmlns:a16="http://schemas.microsoft.com/office/drawing/2014/main" id="{8A12DF92-ECC7-4D5D-BF99-D57D2DBC3450}"/>
            </a:ext>
          </a:extLst>
        </xdr:cNvPr>
        <xdr:cNvGrpSpPr/>
      </xdr:nvGrpSpPr>
      <xdr:grpSpPr>
        <a:xfrm>
          <a:off x="1790700" y="142875"/>
          <a:ext cx="6130719" cy="761858"/>
          <a:chOff x="428625" y="67353"/>
          <a:chExt cx="6130719" cy="761858"/>
        </a:xfrm>
      </xdr:grpSpPr>
      <xdr:grpSp>
        <xdr:nvGrpSpPr>
          <xdr:cNvPr id="3" name="Groupe 2">
            <a:extLst>
              <a:ext uri="{FF2B5EF4-FFF2-40B4-BE49-F238E27FC236}">
                <a16:creationId xmlns:a16="http://schemas.microsoft.com/office/drawing/2014/main" id="{586659B8-B690-13BB-402B-8E38FAB65627}"/>
              </a:ext>
            </a:extLst>
          </xdr:cNvPr>
          <xdr:cNvGrpSpPr/>
        </xdr:nvGrpSpPr>
        <xdr:grpSpPr>
          <a:xfrm>
            <a:off x="2678201" y="67353"/>
            <a:ext cx="3881143" cy="761858"/>
            <a:chOff x="1726825" y="67929"/>
            <a:chExt cx="3883670" cy="768372"/>
          </a:xfrm>
        </xdr:grpSpPr>
        <xdr:pic>
          <xdr:nvPicPr>
            <xdr:cNvPr id="69" name="Image 68">
              <a:extLst>
                <a:ext uri="{FF2B5EF4-FFF2-40B4-BE49-F238E27FC236}">
                  <a16:creationId xmlns:a16="http://schemas.microsoft.com/office/drawing/2014/main" id="{32C78CFE-0C94-72E9-9AFA-88171EB8B2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48869" y="99862"/>
              <a:ext cx="436789" cy="716240"/>
            </a:xfrm>
            <a:prstGeom prst="rect">
              <a:avLst/>
            </a:prstGeom>
          </xdr:spPr>
        </xdr:pic>
        <xdr:grpSp>
          <xdr:nvGrpSpPr>
            <xdr:cNvPr id="70" name="Groupe 69">
              <a:extLst>
                <a:ext uri="{FF2B5EF4-FFF2-40B4-BE49-F238E27FC236}">
                  <a16:creationId xmlns:a16="http://schemas.microsoft.com/office/drawing/2014/main" id="{4D805234-488A-7E43-EA32-30ADBB65F8EE}"/>
                </a:ext>
              </a:extLst>
            </xdr:cNvPr>
            <xdr:cNvGrpSpPr/>
          </xdr:nvGrpSpPr>
          <xdr:grpSpPr>
            <a:xfrm>
              <a:off x="1726825" y="67929"/>
              <a:ext cx="3883670" cy="768372"/>
              <a:chOff x="1804092" y="201706"/>
              <a:chExt cx="3870949" cy="773206"/>
            </a:xfrm>
          </xdr:grpSpPr>
          <xdr:pic>
            <xdr:nvPicPr>
              <xdr:cNvPr id="71" name="Image 70">
                <a:extLst>
                  <a:ext uri="{FF2B5EF4-FFF2-40B4-BE49-F238E27FC236}">
                    <a16:creationId xmlns:a16="http://schemas.microsoft.com/office/drawing/2014/main" id="{7859750B-58A3-1EC9-E8A7-E95652047B02}"/>
                  </a:ext>
                </a:extLst>
              </xdr:cNvPr>
              <xdr:cNvPicPr>
                <a:picLocks noChangeAspect="1"/>
              </xdr:cNvPicPr>
            </xdr:nvPicPr>
            <xdr:blipFill>
              <a:blip xmlns:r="http://schemas.openxmlformats.org/officeDocument/2006/relationships" r:embed="rId4"/>
              <a:stretch>
                <a:fillRect/>
              </a:stretch>
            </xdr:blipFill>
            <xdr:spPr>
              <a:xfrm>
                <a:off x="3779562" y="201706"/>
                <a:ext cx="749851" cy="773206"/>
              </a:xfrm>
              <a:prstGeom prst="rect">
                <a:avLst/>
              </a:prstGeom>
            </xdr:spPr>
          </xdr:pic>
          <xdr:pic>
            <xdr:nvPicPr>
              <xdr:cNvPr id="72" name="Image 71">
                <a:extLst>
                  <a:ext uri="{FF2B5EF4-FFF2-40B4-BE49-F238E27FC236}">
                    <a16:creationId xmlns:a16="http://schemas.microsoft.com/office/drawing/2014/main" id="{A0F7E7E3-8C4E-A7E5-2BDC-8A939FE63EA1}"/>
                  </a:ext>
                </a:extLst>
              </xdr:cNvPr>
              <xdr:cNvPicPr>
                <a:picLocks noChangeAspect="1"/>
              </xdr:cNvPicPr>
            </xdr:nvPicPr>
            <xdr:blipFill>
              <a:blip xmlns:r="http://schemas.openxmlformats.org/officeDocument/2006/relationships" r:embed="rId5"/>
              <a:stretch>
                <a:fillRect/>
              </a:stretch>
            </xdr:blipFill>
            <xdr:spPr>
              <a:xfrm>
                <a:off x="5178994" y="268939"/>
                <a:ext cx="496047" cy="651443"/>
              </a:xfrm>
              <a:prstGeom prst="rect">
                <a:avLst/>
              </a:prstGeom>
            </xdr:spPr>
          </xdr:pic>
          <xdr:sp macro="" textlink="">
            <xdr:nvSpPr>
              <xdr:cNvPr id="73" name="ZoneTexte 72">
                <a:extLst>
                  <a:ext uri="{FF2B5EF4-FFF2-40B4-BE49-F238E27FC236}">
                    <a16:creationId xmlns:a16="http://schemas.microsoft.com/office/drawing/2014/main" id="{9E3B4BC9-F2FA-0820-B2C5-1CA1511F4436}"/>
                  </a:ext>
                </a:extLst>
              </xdr:cNvPr>
              <xdr:cNvSpPr txBox="1"/>
            </xdr:nvSpPr>
            <xdr:spPr>
              <a:xfrm>
                <a:off x="1804092" y="438150"/>
                <a:ext cx="2072552"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t>Avec la collaboration de</a:t>
                </a:r>
                <a:r>
                  <a:rPr lang="fr-FR" sz="1400" b="1" baseline="0"/>
                  <a:t> :</a:t>
                </a:r>
                <a:endParaRPr lang="fr-FR" sz="1400" b="1"/>
              </a:p>
            </xdr:txBody>
          </xdr:sp>
        </xdr:grpSp>
      </xdr:grpSp>
      <xdr:pic>
        <xdr:nvPicPr>
          <xdr:cNvPr id="54" name="Image 53">
            <a:extLst>
              <a:ext uri="{FF2B5EF4-FFF2-40B4-BE49-F238E27FC236}">
                <a16:creationId xmlns:a16="http://schemas.microsoft.com/office/drawing/2014/main" id="{4F7C0C29-1CE8-3933-3CB8-3EFDDFDE825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8625" y="266700"/>
            <a:ext cx="2266950" cy="43289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229462</xdr:colOff>
      <xdr:row>0</xdr:row>
      <xdr:rowOff>86591</xdr:rowOff>
    </xdr:from>
    <xdr:to>
      <xdr:col>51</xdr:col>
      <xdr:colOff>17689</xdr:colOff>
      <xdr:row>7</xdr:row>
      <xdr:rowOff>248516</xdr:rowOff>
    </xdr:to>
    <xdr:sp macro="" textlink="">
      <xdr:nvSpPr>
        <xdr:cNvPr id="92" name="ZoneTexte 91">
          <a:extLst>
            <a:ext uri="{FF2B5EF4-FFF2-40B4-BE49-F238E27FC236}">
              <a16:creationId xmlns:a16="http://schemas.microsoft.com/office/drawing/2014/main" id="{86A61D70-D5ED-4749-A01E-28A348E510CA}"/>
            </a:ext>
          </a:extLst>
        </xdr:cNvPr>
        <xdr:cNvSpPr txBox="1"/>
      </xdr:nvSpPr>
      <xdr:spPr>
        <a:xfrm>
          <a:off x="14435319" y="86591"/>
          <a:ext cx="6655752" cy="1808389"/>
        </a:xfrm>
        <a:prstGeom prst="rect">
          <a:avLst/>
        </a:prstGeom>
        <a:solidFill>
          <a:schemeClr val="lt1"/>
        </a:solidFill>
        <a:ln w="63500" cmpd="thickThin">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i="1">
              <a:solidFill>
                <a:schemeClr val="dk1"/>
              </a:solidFill>
              <a:effectLst/>
              <a:latin typeface="+mn-lt"/>
              <a:ea typeface="+mn-ea"/>
              <a:cs typeface="+mn-cs"/>
            </a:rPr>
            <a:t>ARVALIS - Institut du végétal décline toute responsabilité :</a:t>
          </a:r>
        </a:p>
        <a:p>
          <a:r>
            <a:rPr lang="fr-FR" sz="900" b="1" i="1">
              <a:solidFill>
                <a:schemeClr val="dk1"/>
              </a:solidFill>
              <a:effectLst/>
              <a:latin typeface="+mn-lt"/>
              <a:ea typeface="+mn-ea"/>
              <a:cs typeface="+mn-cs"/>
            </a:rPr>
            <a:t>- pour toute imprécision, inexactitude ou omission portant sur des informations disponibles. </a:t>
          </a:r>
        </a:p>
        <a:p>
          <a:r>
            <a:rPr lang="fr-FR" sz="900" b="1" i="1">
              <a:solidFill>
                <a:schemeClr val="dk1"/>
              </a:solidFill>
              <a:effectLst/>
              <a:latin typeface="+mn-lt"/>
              <a:ea typeface="+mn-ea"/>
              <a:cs typeface="+mn-cs"/>
            </a:rPr>
            <a:t> - pour tout résultat qui pourrait être obtenu par l'usage des informations disponibles.</a:t>
          </a:r>
        </a:p>
        <a:p>
          <a:r>
            <a:rPr lang="fr-FR" sz="900" b="1" i="1">
              <a:solidFill>
                <a:schemeClr val="dk1"/>
              </a:solidFill>
              <a:effectLst/>
              <a:latin typeface="+mn-lt"/>
              <a:ea typeface="+mn-ea"/>
              <a:cs typeface="+mn-cs"/>
            </a:rPr>
            <a:t>- pour tous dommages résultant d'une intrusion frauduleuse d'un tiers, ayant entraîné une modification des informations ou éléments mis à disposition.</a:t>
          </a:r>
        </a:p>
        <a:p>
          <a:r>
            <a:rPr lang="fr-FR" sz="900" b="1" i="1">
              <a:solidFill>
                <a:schemeClr val="dk1"/>
              </a:solidFill>
              <a:effectLst/>
              <a:latin typeface="+mn-lt"/>
              <a:ea typeface="+mn-ea"/>
              <a:cs typeface="+mn-cs"/>
            </a:rPr>
            <a:t>- et plus généralement pour tous dommages, directs ou indirects, quelles qu'en soient les causes, origines, natures ou conséquences, quand bien même ARVALIS - Institut du végétal aurait été avisée de la possibilité de tels dommages, provoqués à raison (i) de l'accès de quiconque aux informations ou de l'impossibilité d'y accéder, (ii) de l'utilisation des informations, incluant toutes détériorations ou virus qui pourraient infecter votre équipement informatique ou tout autre bien, et/ou (iii) du crédit accordé à une quelconque information provenant directement ou indirectement de l’outil</a:t>
          </a:r>
          <a:r>
            <a:rPr lang="fr-FR" sz="900" b="1" i="1" baseline="0">
              <a:solidFill>
                <a:schemeClr val="dk1"/>
              </a:solidFill>
              <a:effectLst/>
              <a:latin typeface="+mn-lt"/>
              <a:ea typeface="+mn-ea"/>
              <a:cs typeface="+mn-cs"/>
            </a:rPr>
            <a:t> "</a:t>
          </a:r>
          <a:r>
            <a:rPr lang="fr-FR" sz="900" b="1" i="1" u="sng">
              <a:solidFill>
                <a:sysClr val="windowText" lastClr="000000"/>
              </a:solidFill>
              <a:effectLst/>
              <a:latin typeface="+mn-lt"/>
              <a:ea typeface="+mn-ea"/>
              <a:cs typeface="+mn-cs"/>
            </a:rPr>
            <a:t>ImpactCoutProduction</a:t>
          </a:r>
          <a:r>
            <a:rPr lang="fr-FR" sz="900" b="1" i="1" u="none">
              <a:solidFill>
                <a:schemeClr val="dk1"/>
              </a:solidFill>
              <a:effectLst/>
              <a:latin typeface="+mn-lt"/>
              <a:ea typeface="+mn-ea"/>
              <a:cs typeface="+mn-cs"/>
            </a:rPr>
            <a:t>"</a:t>
          </a:r>
          <a:r>
            <a:rPr lang="fr-FR" sz="900" b="1" i="1">
              <a:solidFill>
                <a:schemeClr val="dk1"/>
              </a:solidFill>
              <a:effectLst/>
              <a:latin typeface="+mn-lt"/>
              <a:ea typeface="+mn-ea"/>
              <a:cs typeface="+mn-cs"/>
            </a:rPr>
            <a:t>.</a:t>
          </a:r>
        </a:p>
        <a:p>
          <a:r>
            <a:rPr lang="fr-FR" sz="1000" b="1" i="1">
              <a:solidFill>
                <a:schemeClr val="dk1"/>
              </a:solidFill>
              <a:effectLst/>
              <a:latin typeface="+mn-lt"/>
              <a:ea typeface="+mn-ea"/>
              <a:cs typeface="+mn-cs"/>
            </a:rPr>
            <a:t>Pour toute question, veuillez vous référer à l'onglet 'PRISE EN MAIN'</a:t>
          </a:r>
        </a:p>
        <a:p>
          <a:r>
            <a:rPr lang="fr-FR" sz="900" i="1">
              <a:solidFill>
                <a:schemeClr val="dk1"/>
              </a:solidFill>
              <a:effectLst/>
              <a:latin typeface="+mn-lt"/>
              <a:ea typeface="+mn-ea"/>
              <a:cs typeface="+mn-cs"/>
            </a:rPr>
            <a:t> </a:t>
          </a:r>
        </a:p>
        <a:p>
          <a:endParaRPr lang="fr-FR" sz="900" i="1"/>
        </a:p>
      </xdr:txBody>
    </xdr:sp>
    <xdr:clientData/>
  </xdr:twoCellAnchor>
  <xdr:twoCellAnchor editAs="oneCell">
    <xdr:from>
      <xdr:col>4</xdr:col>
      <xdr:colOff>345066</xdr:colOff>
      <xdr:row>0</xdr:row>
      <xdr:rowOff>121226</xdr:rowOff>
    </xdr:from>
    <xdr:to>
      <xdr:col>25</xdr:col>
      <xdr:colOff>317491</xdr:colOff>
      <xdr:row>7</xdr:row>
      <xdr:rowOff>279892</xdr:rowOff>
    </xdr:to>
    <xdr:sp macro="" textlink="">
      <xdr:nvSpPr>
        <xdr:cNvPr id="99" name="ZoneTexte 98">
          <a:extLst>
            <a:ext uri="{FF2B5EF4-FFF2-40B4-BE49-F238E27FC236}">
              <a16:creationId xmlns:a16="http://schemas.microsoft.com/office/drawing/2014/main" id="{1DB33F72-3870-46DF-A0A3-BDEAABAB6EF9}"/>
            </a:ext>
          </a:extLst>
        </xdr:cNvPr>
        <xdr:cNvSpPr txBox="1"/>
      </xdr:nvSpPr>
      <xdr:spPr>
        <a:xfrm>
          <a:off x="3488316" y="121226"/>
          <a:ext cx="10658474" cy="1787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600" b="1"/>
            <a:t>              ImpactCoutProduction</a:t>
          </a:r>
        </a:p>
        <a:p>
          <a:pPr algn="ctr"/>
          <a:endParaRPr lang="fr-FR" sz="1600" b="1"/>
        </a:p>
        <a:p>
          <a:pPr algn="ctr"/>
          <a:r>
            <a:rPr lang="fr-FR" sz="2600" b="1"/>
            <a:t>Pour vous situer, estimez rapidement les variations de vos charges en fonction de l'évolution du prix des intrants, de l'énergie…</a:t>
          </a:r>
        </a:p>
      </xdr:txBody>
    </xdr:sp>
    <xdr:clientData/>
  </xdr:twoCellAnchor>
  <xdr:twoCellAnchor>
    <xdr:from>
      <xdr:col>36</xdr:col>
      <xdr:colOff>327932</xdr:colOff>
      <xdr:row>50</xdr:row>
      <xdr:rowOff>104775</xdr:rowOff>
    </xdr:from>
    <xdr:to>
      <xdr:col>44</xdr:col>
      <xdr:colOff>187255</xdr:colOff>
      <xdr:row>53</xdr:row>
      <xdr:rowOff>66675</xdr:rowOff>
    </xdr:to>
    <xdr:sp macro="" textlink="">
      <xdr:nvSpPr>
        <xdr:cNvPr id="103" name="Rectangle 102">
          <a:extLst>
            <a:ext uri="{FF2B5EF4-FFF2-40B4-BE49-F238E27FC236}">
              <a16:creationId xmlns:a16="http://schemas.microsoft.com/office/drawing/2014/main" id="{CBEB8181-25C5-45B0-9B98-8DE0F99F16F7}"/>
            </a:ext>
          </a:extLst>
        </xdr:cNvPr>
        <xdr:cNvSpPr/>
      </xdr:nvSpPr>
      <xdr:spPr>
        <a:xfrm>
          <a:off x="20158982" y="9991725"/>
          <a:ext cx="1497623" cy="533400"/>
        </a:xfrm>
        <a:prstGeom prst="rect">
          <a:avLst/>
        </a:prstGeom>
        <a:noFill/>
        <a:ln w="76200">
          <a:solidFill>
            <a:schemeClr val="accent3">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lang="fr-FR" sz="1200">
            <a:solidFill>
              <a:sysClr val="windowText" lastClr="000000"/>
            </a:solidFill>
            <a:effectLst/>
          </a:endParaRPr>
        </a:p>
      </xdr:txBody>
    </xdr:sp>
    <xdr:clientData/>
  </xdr:twoCellAnchor>
  <xdr:twoCellAnchor>
    <xdr:from>
      <xdr:col>37</xdr:col>
      <xdr:colOff>12245</xdr:colOff>
      <xdr:row>25</xdr:row>
      <xdr:rowOff>104775</xdr:rowOff>
    </xdr:from>
    <xdr:to>
      <xdr:col>44</xdr:col>
      <xdr:colOff>187569</xdr:colOff>
      <xdr:row>28</xdr:row>
      <xdr:rowOff>47625</xdr:rowOff>
    </xdr:to>
    <xdr:sp macro="" textlink="">
      <xdr:nvSpPr>
        <xdr:cNvPr id="104" name="Rectangle 103">
          <a:extLst>
            <a:ext uri="{FF2B5EF4-FFF2-40B4-BE49-F238E27FC236}">
              <a16:creationId xmlns:a16="http://schemas.microsoft.com/office/drawing/2014/main" id="{86FAA316-32A4-4211-B19A-0E0AA870C339}"/>
            </a:ext>
          </a:extLst>
        </xdr:cNvPr>
        <xdr:cNvSpPr/>
      </xdr:nvSpPr>
      <xdr:spPr>
        <a:xfrm>
          <a:off x="20176670" y="5343525"/>
          <a:ext cx="1480249" cy="514350"/>
        </a:xfrm>
        <a:prstGeom prst="rect">
          <a:avLst/>
        </a:prstGeom>
        <a:noFill/>
        <a:ln w="7620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endParaRPr lang="fr-FR" sz="1200">
            <a:solidFill>
              <a:sysClr val="windowText" lastClr="000000"/>
            </a:solidFill>
            <a:effectLst/>
            <a:latin typeface="+mn-lt"/>
            <a:ea typeface="+mn-ea"/>
            <a:cs typeface="+mn-cs"/>
          </a:endParaRPr>
        </a:p>
      </xdr:txBody>
    </xdr:sp>
    <xdr:clientData/>
  </xdr:twoCellAnchor>
  <xdr:twoCellAnchor>
    <xdr:from>
      <xdr:col>36</xdr:col>
      <xdr:colOff>332014</xdr:colOff>
      <xdr:row>38</xdr:row>
      <xdr:rowOff>95249</xdr:rowOff>
    </xdr:from>
    <xdr:to>
      <xdr:col>44</xdr:col>
      <xdr:colOff>194896</xdr:colOff>
      <xdr:row>41</xdr:row>
      <xdr:rowOff>57214</xdr:rowOff>
    </xdr:to>
    <xdr:sp macro="" textlink="">
      <xdr:nvSpPr>
        <xdr:cNvPr id="105" name="Rectangle 104">
          <a:extLst>
            <a:ext uri="{FF2B5EF4-FFF2-40B4-BE49-F238E27FC236}">
              <a16:creationId xmlns:a16="http://schemas.microsoft.com/office/drawing/2014/main" id="{FE4099A5-A8A7-4BB9-BE66-52D4A386D2E7}"/>
            </a:ext>
          </a:extLst>
        </xdr:cNvPr>
        <xdr:cNvSpPr/>
      </xdr:nvSpPr>
      <xdr:spPr>
        <a:xfrm>
          <a:off x="20163064" y="7696199"/>
          <a:ext cx="1501182" cy="533465"/>
        </a:xfrm>
        <a:prstGeom prst="rect">
          <a:avLst/>
        </a:prstGeom>
        <a:noFill/>
        <a:ln w="76200">
          <a:solidFill>
            <a:srgbClr val="CCFF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endParaRPr lang="fr-FR" sz="1200">
            <a:solidFill>
              <a:sysClr val="windowText" lastClr="000000"/>
            </a:solidFill>
            <a:effectLst/>
            <a:latin typeface="+mn-lt"/>
            <a:ea typeface="+mn-ea"/>
            <a:cs typeface="+mn-cs"/>
          </a:endParaRPr>
        </a:p>
      </xdr:txBody>
    </xdr:sp>
    <xdr:clientData/>
  </xdr:twoCellAnchor>
  <xdr:twoCellAnchor editAs="oneCell">
    <xdr:from>
      <xdr:col>36</xdr:col>
      <xdr:colOff>327932</xdr:colOff>
      <xdr:row>26</xdr:row>
      <xdr:rowOff>171449</xdr:rowOff>
    </xdr:from>
    <xdr:to>
      <xdr:col>37</xdr:col>
      <xdr:colOff>12245</xdr:colOff>
      <xdr:row>51</xdr:row>
      <xdr:rowOff>180974</xdr:rowOff>
    </xdr:to>
    <xdr:cxnSp macro="">
      <xdr:nvCxnSpPr>
        <xdr:cNvPr id="106" name="Connecteur : en angle 105">
          <a:extLst>
            <a:ext uri="{FF2B5EF4-FFF2-40B4-BE49-F238E27FC236}">
              <a16:creationId xmlns:a16="http://schemas.microsoft.com/office/drawing/2014/main" id="{E0413D26-E2A6-4B02-924F-FE2DC58CAC33}"/>
            </a:ext>
          </a:extLst>
        </xdr:cNvPr>
        <xdr:cNvCxnSpPr>
          <a:stCxn id="104" idx="1"/>
          <a:endCxn id="103" idx="1"/>
        </xdr:cNvCxnSpPr>
      </xdr:nvCxnSpPr>
      <xdr:spPr>
        <a:xfrm rot="10800000" flipV="1">
          <a:off x="18520682" y="5641520"/>
          <a:ext cx="24492" cy="4663168"/>
        </a:xfrm>
        <a:prstGeom prst="bentConnector3">
          <a:avLst>
            <a:gd name="adj1" fmla="val 366327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25330</xdr:colOff>
      <xdr:row>28</xdr:row>
      <xdr:rowOff>47625</xdr:rowOff>
    </xdr:from>
    <xdr:to>
      <xdr:col>41</xdr:col>
      <xdr:colOff>28470</xdr:colOff>
      <xdr:row>38</xdr:row>
      <xdr:rowOff>95249</xdr:rowOff>
    </xdr:to>
    <xdr:cxnSp macro="">
      <xdr:nvCxnSpPr>
        <xdr:cNvPr id="107" name="Connecteur droit avec flèche 106">
          <a:extLst>
            <a:ext uri="{FF2B5EF4-FFF2-40B4-BE49-F238E27FC236}">
              <a16:creationId xmlns:a16="http://schemas.microsoft.com/office/drawing/2014/main" id="{EB51163C-9539-41BE-9A86-12FEC9564012}"/>
            </a:ext>
          </a:extLst>
        </xdr:cNvPr>
        <xdr:cNvCxnSpPr>
          <a:stCxn id="104" idx="2"/>
          <a:endCxn id="105" idx="0"/>
        </xdr:cNvCxnSpPr>
      </xdr:nvCxnSpPr>
      <xdr:spPr>
        <a:xfrm flipH="1">
          <a:off x="20913655" y="5857875"/>
          <a:ext cx="3140" cy="1838324"/>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19469</xdr:colOff>
      <xdr:row>41</xdr:row>
      <xdr:rowOff>57214</xdr:rowOff>
    </xdr:from>
    <xdr:to>
      <xdr:col>41</xdr:col>
      <xdr:colOff>25330</xdr:colOff>
      <xdr:row>50</xdr:row>
      <xdr:rowOff>104775</xdr:rowOff>
    </xdr:to>
    <xdr:cxnSp macro="">
      <xdr:nvCxnSpPr>
        <xdr:cNvPr id="108" name="Connecteur droit avec flèche 107">
          <a:extLst>
            <a:ext uri="{FF2B5EF4-FFF2-40B4-BE49-F238E27FC236}">
              <a16:creationId xmlns:a16="http://schemas.microsoft.com/office/drawing/2014/main" id="{39012FED-D6EE-4ED5-9E2A-E48779412CAA}"/>
            </a:ext>
          </a:extLst>
        </xdr:cNvPr>
        <xdr:cNvCxnSpPr>
          <a:stCxn id="105" idx="2"/>
          <a:endCxn id="103" idx="0"/>
        </xdr:cNvCxnSpPr>
      </xdr:nvCxnSpPr>
      <xdr:spPr>
        <a:xfrm flipH="1">
          <a:off x="20907794" y="8229664"/>
          <a:ext cx="5861" cy="1762061"/>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27</xdr:col>
      <xdr:colOff>76920</xdr:colOff>
      <xdr:row>35</xdr:row>
      <xdr:rowOff>152401</xdr:rowOff>
    </xdr:from>
    <xdr:to>
      <xdr:col>35</xdr:col>
      <xdr:colOff>82682</xdr:colOff>
      <xdr:row>44</xdr:row>
      <xdr:rowOff>9526</xdr:rowOff>
    </xdr:to>
    <xdr:sp macro="" textlink="">
      <xdr:nvSpPr>
        <xdr:cNvPr id="127" name="Ellipse 126">
          <a:extLst>
            <a:ext uri="{FF2B5EF4-FFF2-40B4-BE49-F238E27FC236}">
              <a16:creationId xmlns:a16="http://schemas.microsoft.com/office/drawing/2014/main" id="{9E652BA2-250C-42A3-BC1A-BDBCB21336D3}"/>
            </a:ext>
          </a:extLst>
        </xdr:cNvPr>
        <xdr:cNvSpPr/>
      </xdr:nvSpPr>
      <xdr:spPr>
        <a:xfrm>
          <a:off x="16459920" y="7228115"/>
          <a:ext cx="1611405" cy="1571625"/>
        </a:xfrm>
        <a:prstGeom prst="ellipse">
          <a:avLst/>
        </a:prstGeom>
        <a:noFill/>
        <a:ln w="76200">
          <a:solidFill>
            <a:srgbClr val="00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41</xdr:col>
      <xdr:colOff>105022</xdr:colOff>
      <xdr:row>29</xdr:row>
      <xdr:rowOff>17440</xdr:rowOff>
    </xdr:from>
    <xdr:to>
      <xdr:col>49</xdr:col>
      <xdr:colOff>95496</xdr:colOff>
      <xdr:row>37</xdr:row>
      <xdr:rowOff>186292</xdr:rowOff>
    </xdr:to>
    <xdr:sp macro="" textlink="">
      <xdr:nvSpPr>
        <xdr:cNvPr id="128" name="Ellipse 127">
          <a:extLst>
            <a:ext uri="{FF2B5EF4-FFF2-40B4-BE49-F238E27FC236}">
              <a16:creationId xmlns:a16="http://schemas.microsoft.com/office/drawing/2014/main" id="{467D37CC-DD18-45A0-90AE-523CC49A8D17}"/>
            </a:ext>
          </a:extLst>
        </xdr:cNvPr>
        <xdr:cNvSpPr/>
      </xdr:nvSpPr>
      <xdr:spPr>
        <a:xfrm>
          <a:off x="19141415" y="6059011"/>
          <a:ext cx="1596117" cy="1583995"/>
        </a:xfrm>
        <a:prstGeom prst="ellipse">
          <a:avLst/>
        </a:prstGeom>
        <a:noFill/>
        <a:ln w="76200">
          <a:solidFill>
            <a:srgbClr val="00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41</xdr:col>
      <xdr:colOff>109104</xdr:colOff>
      <xdr:row>41</xdr:row>
      <xdr:rowOff>157594</xdr:rowOff>
    </xdr:from>
    <xdr:to>
      <xdr:col>49</xdr:col>
      <xdr:colOff>99578</xdr:colOff>
      <xdr:row>50</xdr:row>
      <xdr:rowOff>21646</xdr:rowOff>
    </xdr:to>
    <xdr:sp macro="" textlink="">
      <xdr:nvSpPr>
        <xdr:cNvPr id="129" name="Ellipse 128">
          <a:extLst>
            <a:ext uri="{FF2B5EF4-FFF2-40B4-BE49-F238E27FC236}">
              <a16:creationId xmlns:a16="http://schemas.microsoft.com/office/drawing/2014/main" id="{A5576190-5021-446B-9CCD-BAAECDF3BCBE}"/>
            </a:ext>
          </a:extLst>
        </xdr:cNvPr>
        <xdr:cNvSpPr/>
      </xdr:nvSpPr>
      <xdr:spPr>
        <a:xfrm>
          <a:off x="21273654" y="8330044"/>
          <a:ext cx="1571624" cy="1578552"/>
        </a:xfrm>
        <a:prstGeom prst="ellipse">
          <a:avLst/>
        </a:prstGeom>
        <a:noFill/>
        <a:ln w="76200">
          <a:solidFill>
            <a:srgbClr val="00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30</xdr:col>
      <xdr:colOff>91113</xdr:colOff>
      <xdr:row>20</xdr:row>
      <xdr:rowOff>155398</xdr:rowOff>
    </xdr:from>
    <xdr:to>
      <xdr:col>47</xdr:col>
      <xdr:colOff>71590</xdr:colOff>
      <xdr:row>24</xdr:row>
      <xdr:rowOff>115957</xdr:rowOff>
    </xdr:to>
    <xdr:sp macro="" textlink="">
      <xdr:nvSpPr>
        <xdr:cNvPr id="144" name="ZoneTexte 143">
          <a:extLst>
            <a:ext uri="{FF2B5EF4-FFF2-40B4-BE49-F238E27FC236}">
              <a16:creationId xmlns:a16="http://schemas.microsoft.com/office/drawing/2014/main" id="{BEF3E30F-FE94-4D8E-89B7-0550FB9202A7}"/>
            </a:ext>
          </a:extLst>
        </xdr:cNvPr>
        <xdr:cNvSpPr txBox="1"/>
      </xdr:nvSpPr>
      <xdr:spPr>
        <a:xfrm>
          <a:off x="19190809" y="4553463"/>
          <a:ext cx="3210694" cy="614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a:t>Attention les résultats ne prennent en compte que les charges que vous avez saisies</a:t>
          </a:r>
        </a:p>
      </xdr:txBody>
    </xdr:sp>
    <xdr:clientData/>
  </xdr:twoCellAnchor>
  <xdr:twoCellAnchor>
    <xdr:from>
      <xdr:col>39</xdr:col>
      <xdr:colOff>17188</xdr:colOff>
      <xdr:row>55</xdr:row>
      <xdr:rowOff>22320</xdr:rowOff>
    </xdr:from>
    <xdr:to>
      <xdr:col>42</xdr:col>
      <xdr:colOff>135547</xdr:colOff>
      <xdr:row>55</xdr:row>
      <xdr:rowOff>160040</xdr:rowOff>
    </xdr:to>
    <xdr:sp macro="" textlink="">
      <xdr:nvSpPr>
        <xdr:cNvPr id="145" name="Rectangle 144">
          <a:extLst>
            <a:ext uri="{FF2B5EF4-FFF2-40B4-BE49-F238E27FC236}">
              <a16:creationId xmlns:a16="http://schemas.microsoft.com/office/drawing/2014/main" id="{458A764E-91A5-4AC4-876E-0A89917F4205}"/>
            </a:ext>
          </a:extLst>
        </xdr:cNvPr>
        <xdr:cNvSpPr/>
      </xdr:nvSpPr>
      <xdr:spPr>
        <a:xfrm>
          <a:off x="18800488" y="10947495"/>
          <a:ext cx="661284" cy="137720"/>
        </a:xfrm>
        <a:prstGeom prst="rect">
          <a:avLst/>
        </a:prstGeom>
        <a:solidFill>
          <a:srgbClr val="CC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35</xdr:col>
      <xdr:colOff>140071</xdr:colOff>
      <xdr:row>53</xdr:row>
      <xdr:rowOff>76561</xdr:rowOff>
    </xdr:from>
    <xdr:to>
      <xdr:col>46</xdr:col>
      <xdr:colOff>163285</xdr:colOff>
      <xdr:row>56</xdr:row>
      <xdr:rowOff>130150</xdr:rowOff>
    </xdr:to>
    <xdr:sp macro="" textlink="">
      <xdr:nvSpPr>
        <xdr:cNvPr id="146" name="ZoneTexte 145">
          <a:extLst>
            <a:ext uri="{FF2B5EF4-FFF2-40B4-BE49-F238E27FC236}">
              <a16:creationId xmlns:a16="http://schemas.microsoft.com/office/drawing/2014/main" id="{58A69BDA-6084-4C38-AF67-67092DA9212A}"/>
            </a:ext>
          </a:extLst>
        </xdr:cNvPr>
        <xdr:cNvSpPr txBox="1"/>
      </xdr:nvSpPr>
      <xdr:spPr>
        <a:xfrm>
          <a:off x="17924607" y="10581275"/>
          <a:ext cx="2268392" cy="706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0" i="0" u="none" strike="noStrike">
              <a:solidFill>
                <a:srgbClr val="000000"/>
              </a:solidFill>
              <a:latin typeface="Calibri"/>
              <a:cs typeface="Calibri"/>
            </a:rPr>
            <a:t>Pour plus de résultats (détail des charges, marge…), cliquez sur l'onglet RESULTATS ci-dessous</a:t>
          </a:r>
        </a:p>
      </xdr:txBody>
    </xdr:sp>
    <xdr:clientData/>
  </xdr:twoCellAnchor>
  <xdr:twoCellAnchor>
    <xdr:from>
      <xdr:col>38</xdr:col>
      <xdr:colOff>156343</xdr:colOff>
      <xdr:row>56</xdr:row>
      <xdr:rowOff>106750</xdr:rowOff>
    </xdr:from>
    <xdr:to>
      <xdr:col>42</xdr:col>
      <xdr:colOff>11281</xdr:colOff>
      <xdr:row>58</xdr:row>
      <xdr:rowOff>178226</xdr:rowOff>
    </xdr:to>
    <xdr:sp macro="" textlink="">
      <xdr:nvSpPr>
        <xdr:cNvPr id="147" name="Flèche : bas 146">
          <a:extLst>
            <a:ext uri="{FF2B5EF4-FFF2-40B4-BE49-F238E27FC236}">
              <a16:creationId xmlns:a16="http://schemas.microsoft.com/office/drawing/2014/main" id="{90710C5E-E6A3-429F-A541-A1CDE3482939}"/>
            </a:ext>
          </a:extLst>
        </xdr:cNvPr>
        <xdr:cNvSpPr/>
      </xdr:nvSpPr>
      <xdr:spPr>
        <a:xfrm>
          <a:off x="18662057" y="11264607"/>
          <a:ext cx="562510" cy="833476"/>
        </a:xfrm>
        <a:prstGeom prst="downArrow">
          <a:avLst/>
        </a:prstGeom>
        <a:solidFill>
          <a:srgbClr val="CCFF66"/>
        </a:solidFill>
        <a:ln>
          <a:solidFill>
            <a:srgbClr val="CCFF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fPrintsWithSheet="0"/>
  </xdr:twoCellAnchor>
  <xdr:twoCellAnchor>
    <xdr:from>
      <xdr:col>0</xdr:col>
      <xdr:colOff>133350</xdr:colOff>
      <xdr:row>0</xdr:row>
      <xdr:rowOff>143553</xdr:rowOff>
    </xdr:from>
    <xdr:to>
      <xdr:col>6</xdr:col>
      <xdr:colOff>415719</xdr:colOff>
      <xdr:row>4</xdr:row>
      <xdr:rowOff>95786</xdr:rowOff>
    </xdr:to>
    <xdr:grpSp>
      <xdr:nvGrpSpPr>
        <xdr:cNvPr id="3" name="Groupe 2">
          <a:extLst>
            <a:ext uri="{FF2B5EF4-FFF2-40B4-BE49-F238E27FC236}">
              <a16:creationId xmlns:a16="http://schemas.microsoft.com/office/drawing/2014/main" id="{A4A1E9D6-88CF-8B98-8E85-A80F5C912621}"/>
            </a:ext>
          </a:extLst>
        </xdr:cNvPr>
        <xdr:cNvGrpSpPr/>
      </xdr:nvGrpSpPr>
      <xdr:grpSpPr>
        <a:xfrm>
          <a:off x="133350" y="143553"/>
          <a:ext cx="6559344" cy="761858"/>
          <a:chOff x="0" y="67353"/>
          <a:chExt cx="6559344" cy="761858"/>
        </a:xfrm>
      </xdr:grpSpPr>
      <xdr:grpSp>
        <xdr:nvGrpSpPr>
          <xdr:cNvPr id="11" name="Groupe 10">
            <a:extLst>
              <a:ext uri="{FF2B5EF4-FFF2-40B4-BE49-F238E27FC236}">
                <a16:creationId xmlns:a16="http://schemas.microsoft.com/office/drawing/2014/main" id="{4FB2A414-2F1C-42E1-9FBE-C9D20AB4839B}"/>
              </a:ext>
            </a:extLst>
          </xdr:cNvPr>
          <xdr:cNvGrpSpPr/>
        </xdr:nvGrpSpPr>
        <xdr:grpSpPr>
          <a:xfrm>
            <a:off x="2678201" y="67353"/>
            <a:ext cx="3881143" cy="761858"/>
            <a:chOff x="1726825" y="67929"/>
            <a:chExt cx="3883670" cy="768372"/>
          </a:xfrm>
        </xdr:grpSpPr>
        <xdr:pic>
          <xdr:nvPicPr>
            <xdr:cNvPr id="12" name="Image 11">
              <a:extLst>
                <a:ext uri="{FF2B5EF4-FFF2-40B4-BE49-F238E27FC236}">
                  <a16:creationId xmlns:a16="http://schemas.microsoft.com/office/drawing/2014/main" id="{360ABF61-B441-4D12-B744-183CE48736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8869" y="99862"/>
              <a:ext cx="436789" cy="716240"/>
            </a:xfrm>
            <a:prstGeom prst="rect">
              <a:avLst/>
            </a:prstGeom>
          </xdr:spPr>
        </xdr:pic>
        <xdr:grpSp>
          <xdr:nvGrpSpPr>
            <xdr:cNvPr id="13" name="Groupe 12">
              <a:extLst>
                <a:ext uri="{FF2B5EF4-FFF2-40B4-BE49-F238E27FC236}">
                  <a16:creationId xmlns:a16="http://schemas.microsoft.com/office/drawing/2014/main" id="{2B6F7369-4A8C-436B-87CC-0B6CE66C3E08}"/>
                </a:ext>
              </a:extLst>
            </xdr:cNvPr>
            <xdr:cNvGrpSpPr/>
          </xdr:nvGrpSpPr>
          <xdr:grpSpPr>
            <a:xfrm>
              <a:off x="1726825" y="67929"/>
              <a:ext cx="3883670" cy="768372"/>
              <a:chOff x="1804092" y="201706"/>
              <a:chExt cx="3870949" cy="773206"/>
            </a:xfrm>
          </xdr:grpSpPr>
          <xdr:pic>
            <xdr:nvPicPr>
              <xdr:cNvPr id="14" name="Image 13">
                <a:extLst>
                  <a:ext uri="{FF2B5EF4-FFF2-40B4-BE49-F238E27FC236}">
                    <a16:creationId xmlns:a16="http://schemas.microsoft.com/office/drawing/2014/main" id="{0E65C6E4-895F-47D8-9521-AF992F338469}"/>
                  </a:ext>
                </a:extLst>
              </xdr:cNvPr>
              <xdr:cNvPicPr>
                <a:picLocks noChangeAspect="1"/>
              </xdr:cNvPicPr>
            </xdr:nvPicPr>
            <xdr:blipFill>
              <a:blip xmlns:r="http://schemas.openxmlformats.org/officeDocument/2006/relationships" r:embed="rId2"/>
              <a:stretch>
                <a:fillRect/>
              </a:stretch>
            </xdr:blipFill>
            <xdr:spPr>
              <a:xfrm>
                <a:off x="3779562" y="201706"/>
                <a:ext cx="749851" cy="773206"/>
              </a:xfrm>
              <a:prstGeom prst="rect">
                <a:avLst/>
              </a:prstGeom>
            </xdr:spPr>
          </xdr:pic>
          <xdr:pic>
            <xdr:nvPicPr>
              <xdr:cNvPr id="15" name="Image 14">
                <a:extLst>
                  <a:ext uri="{FF2B5EF4-FFF2-40B4-BE49-F238E27FC236}">
                    <a16:creationId xmlns:a16="http://schemas.microsoft.com/office/drawing/2014/main" id="{18D8DB6B-81E7-44BB-AF27-19F7491E1C4F}"/>
                  </a:ext>
                </a:extLst>
              </xdr:cNvPr>
              <xdr:cNvPicPr>
                <a:picLocks noChangeAspect="1"/>
              </xdr:cNvPicPr>
            </xdr:nvPicPr>
            <xdr:blipFill>
              <a:blip xmlns:r="http://schemas.openxmlformats.org/officeDocument/2006/relationships" r:embed="rId3"/>
              <a:stretch>
                <a:fillRect/>
              </a:stretch>
            </xdr:blipFill>
            <xdr:spPr>
              <a:xfrm>
                <a:off x="5178994" y="268939"/>
                <a:ext cx="496047" cy="651443"/>
              </a:xfrm>
              <a:prstGeom prst="rect">
                <a:avLst/>
              </a:prstGeom>
            </xdr:spPr>
          </xdr:pic>
          <xdr:sp macro="" textlink="">
            <xdr:nvSpPr>
              <xdr:cNvPr id="17" name="ZoneTexte 16">
                <a:extLst>
                  <a:ext uri="{FF2B5EF4-FFF2-40B4-BE49-F238E27FC236}">
                    <a16:creationId xmlns:a16="http://schemas.microsoft.com/office/drawing/2014/main" id="{86DEDB3A-406B-484F-A573-2C101DBDD362}"/>
                  </a:ext>
                </a:extLst>
              </xdr:cNvPr>
              <xdr:cNvSpPr txBox="1"/>
            </xdr:nvSpPr>
            <xdr:spPr>
              <a:xfrm>
                <a:off x="1804092" y="438150"/>
                <a:ext cx="2072552"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t>Avec la collaboration de</a:t>
                </a:r>
                <a:r>
                  <a:rPr lang="fr-FR" sz="1400" b="1" baseline="0"/>
                  <a:t> :</a:t>
                </a:r>
                <a:endParaRPr lang="fr-FR" sz="1400" b="1"/>
              </a:p>
            </xdr:txBody>
          </xdr:sp>
        </xdr:grpSp>
      </xdr:grpSp>
      <xdr:pic>
        <xdr:nvPicPr>
          <xdr:cNvPr id="2" name="Image 1">
            <a:extLst>
              <a:ext uri="{FF2B5EF4-FFF2-40B4-BE49-F238E27FC236}">
                <a16:creationId xmlns:a16="http://schemas.microsoft.com/office/drawing/2014/main" id="{3CDB8801-F2AC-4D26-83E7-9919F39CC6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9075"/>
            <a:ext cx="2693524" cy="514350"/>
          </a:xfrm>
          <a:prstGeom prst="rect">
            <a:avLst/>
          </a:prstGeom>
        </xdr:spPr>
      </xdr:pic>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0.98578</cdr:x>
      <cdr:y>0.1917</cdr:y>
    </cdr:to>
    <cdr:sp macro="" textlink="">
      <cdr:nvSpPr>
        <cdr:cNvPr id="2" name="ZoneTexte 1">
          <a:extLst xmlns:a="http://schemas.openxmlformats.org/drawingml/2006/main">
            <a:ext uri="{FF2B5EF4-FFF2-40B4-BE49-F238E27FC236}">
              <a16:creationId xmlns:a16="http://schemas.microsoft.com/office/drawing/2014/main" id="{1B7DF132-B22F-4408-8745-28322F3861D8}"/>
            </a:ext>
          </a:extLst>
        </cdr:cNvPr>
        <cdr:cNvSpPr txBox="1"/>
      </cdr:nvSpPr>
      <cdr:spPr>
        <a:xfrm xmlns:a="http://schemas.openxmlformats.org/drawingml/2006/main">
          <a:off x="0" y="0"/>
          <a:ext cx="2954723" cy="7861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600" b="1"/>
            <a:t>Ecart</a:t>
          </a:r>
          <a:r>
            <a:rPr lang="fr-FR" sz="1600" b="1" baseline="0"/>
            <a:t> de charges </a:t>
          </a:r>
          <a:r>
            <a:rPr lang="fr-FR" sz="1600" b="1" baseline="0">
              <a:solidFill>
                <a:srgbClr val="FF0000"/>
              </a:solidFill>
            </a:rPr>
            <a:t>par hectare</a:t>
          </a:r>
        </a:p>
        <a:p xmlns:a="http://schemas.openxmlformats.org/drawingml/2006/main">
          <a:pPr algn="ctr"/>
          <a:r>
            <a:rPr lang="fr-FR" sz="1600" b="1" baseline="0"/>
            <a:t>par rapport à la situation de départ</a:t>
          </a:r>
          <a:endParaRPr lang="fr-FR" sz="1600" b="1"/>
        </a:p>
      </cdr:txBody>
    </cdr:sp>
  </cdr:relSizeAnchor>
</c:userShapes>
</file>

<file path=xl/drawings/drawing21.xml><?xml version="1.0" encoding="utf-8"?>
<c:userShapes xmlns:c="http://schemas.openxmlformats.org/drawingml/2006/chart">
  <cdr:relSizeAnchor xmlns:cdr="http://schemas.openxmlformats.org/drawingml/2006/chartDrawing">
    <cdr:from>
      <cdr:x>0</cdr:x>
      <cdr:y>0.00836</cdr:y>
    </cdr:from>
    <cdr:to>
      <cdr:x>1</cdr:x>
      <cdr:y>0.16409</cdr:y>
    </cdr:to>
    <cdr:sp macro="" textlink="">
      <cdr:nvSpPr>
        <cdr:cNvPr id="2" name="ZoneTexte 1">
          <a:extLst xmlns:a="http://schemas.openxmlformats.org/drawingml/2006/main">
            <a:ext uri="{FF2B5EF4-FFF2-40B4-BE49-F238E27FC236}">
              <a16:creationId xmlns:a16="http://schemas.microsoft.com/office/drawing/2014/main" id="{E895955A-F190-4506-AE42-F5B1C21B2BCE}"/>
            </a:ext>
          </a:extLst>
        </cdr:cNvPr>
        <cdr:cNvSpPr txBox="1"/>
      </cdr:nvSpPr>
      <cdr:spPr>
        <a:xfrm xmlns:a="http://schemas.openxmlformats.org/drawingml/2006/main">
          <a:off x="0" y="28549"/>
          <a:ext cx="3001774" cy="53174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600" b="1" i="0" baseline="0">
              <a:effectLst/>
              <a:latin typeface="+mn-lt"/>
              <a:ea typeface="+mn-ea"/>
              <a:cs typeface="+mn-cs"/>
            </a:rPr>
            <a:t>Charges en € </a:t>
          </a:r>
          <a:r>
            <a:rPr lang="fr-FR" sz="1600" b="1" i="0" baseline="0">
              <a:solidFill>
                <a:srgbClr val="FF0000"/>
              </a:solidFill>
              <a:effectLst/>
              <a:latin typeface="+mn-lt"/>
              <a:ea typeface="+mn-ea"/>
              <a:cs typeface="+mn-cs"/>
            </a:rPr>
            <a:t>par hectare </a:t>
          </a:r>
          <a:endParaRPr lang="fr-FR" sz="1600">
            <a:solidFill>
              <a:srgbClr val="FF0000"/>
            </a:solidFill>
            <a:effectLst/>
          </a:endParaRPr>
        </a:p>
        <a:p xmlns:a="http://schemas.openxmlformats.org/drawingml/2006/main">
          <a:pPr algn="ctr" rtl="0"/>
          <a:r>
            <a:rPr lang="fr-FR" sz="1400" b="1" i="0" baseline="0">
              <a:effectLst/>
              <a:latin typeface="+mn-lt"/>
              <a:ea typeface="+mn-ea"/>
              <a:cs typeface="+mn-cs"/>
            </a:rPr>
            <a:t>(postes de charge saisis uniquement)</a:t>
          </a:r>
          <a:r>
            <a:rPr lang="fr-FR" sz="1400" b="0" i="0" baseline="0">
              <a:effectLst/>
              <a:latin typeface="+mn-lt"/>
              <a:ea typeface="+mn-ea"/>
              <a:cs typeface="+mn-cs"/>
            </a:rPr>
            <a:t> </a:t>
          </a:r>
          <a:endParaRPr lang="fr-FR" sz="1400">
            <a:effectLst/>
          </a:endParaRP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18</xdr:col>
      <xdr:colOff>217217</xdr:colOff>
      <xdr:row>39</xdr:row>
      <xdr:rowOff>70986</xdr:rowOff>
    </xdr:from>
    <xdr:to>
      <xdr:col>63</xdr:col>
      <xdr:colOff>264218</xdr:colOff>
      <xdr:row>58</xdr:row>
      <xdr:rowOff>23868</xdr:rowOff>
    </xdr:to>
    <xdr:grpSp>
      <xdr:nvGrpSpPr>
        <xdr:cNvPr id="12" name="Groupe 11">
          <a:extLst>
            <a:ext uri="{FF2B5EF4-FFF2-40B4-BE49-F238E27FC236}">
              <a16:creationId xmlns:a16="http://schemas.microsoft.com/office/drawing/2014/main" id="{0E157861-5CFA-4A81-A473-4329B57981ED}"/>
            </a:ext>
          </a:extLst>
        </xdr:cNvPr>
        <xdr:cNvGrpSpPr/>
      </xdr:nvGrpSpPr>
      <xdr:grpSpPr>
        <a:xfrm>
          <a:off x="8618267" y="7948161"/>
          <a:ext cx="13334376" cy="3610482"/>
          <a:chOff x="13694967" y="3315490"/>
          <a:chExt cx="13158163" cy="3713729"/>
        </a:xfrm>
      </xdr:grpSpPr>
      <xdr:graphicFrame macro="">
        <xdr:nvGraphicFramePr>
          <xdr:cNvPr id="10" name="Graphique 9">
            <a:extLst>
              <a:ext uri="{FF2B5EF4-FFF2-40B4-BE49-F238E27FC236}">
                <a16:creationId xmlns:a16="http://schemas.microsoft.com/office/drawing/2014/main" id="{0246945B-3F84-4DE5-96B4-927B31FCBFDE}"/>
              </a:ext>
            </a:extLst>
          </xdr:cNvPr>
          <xdr:cNvGraphicFramePr>
            <a:graphicFrameLocks/>
          </xdr:cNvGraphicFramePr>
        </xdr:nvGraphicFramePr>
        <xdr:xfrm>
          <a:off x="13694967" y="3332492"/>
          <a:ext cx="4343706" cy="367705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9" name="Graphique 68">
            <a:extLst>
              <a:ext uri="{FF2B5EF4-FFF2-40B4-BE49-F238E27FC236}">
                <a16:creationId xmlns:a16="http://schemas.microsoft.com/office/drawing/2014/main" id="{43D9F64F-2376-4263-B921-EF1D4A714991}"/>
              </a:ext>
            </a:extLst>
          </xdr:cNvPr>
          <xdr:cNvGraphicFramePr>
            <a:graphicFrameLocks/>
          </xdr:cNvGraphicFramePr>
        </xdr:nvGraphicFramePr>
        <xdr:xfrm>
          <a:off x="18087971" y="3315490"/>
          <a:ext cx="4367316" cy="3713729"/>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70" name="Graphique 69">
            <a:extLst>
              <a:ext uri="{FF2B5EF4-FFF2-40B4-BE49-F238E27FC236}">
                <a16:creationId xmlns:a16="http://schemas.microsoft.com/office/drawing/2014/main" id="{83F4AAC6-7FE9-49D6-B0F9-E40756CA5812}"/>
              </a:ext>
            </a:extLst>
          </xdr:cNvPr>
          <xdr:cNvGraphicFramePr>
            <a:graphicFrameLocks/>
          </xdr:cNvGraphicFramePr>
        </xdr:nvGraphicFramePr>
        <xdr:xfrm>
          <a:off x="22505249" y="3324436"/>
          <a:ext cx="4347881" cy="367281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18</xdr:col>
      <xdr:colOff>129030</xdr:colOff>
      <xdr:row>12</xdr:row>
      <xdr:rowOff>62562</xdr:rowOff>
    </xdr:from>
    <xdr:to>
      <xdr:col>64</xdr:col>
      <xdr:colOff>204109</xdr:colOff>
      <xdr:row>39</xdr:row>
      <xdr:rowOff>22411</xdr:rowOff>
    </xdr:to>
    <xdr:grpSp>
      <xdr:nvGrpSpPr>
        <xdr:cNvPr id="11" name="Groupe 10">
          <a:extLst>
            <a:ext uri="{FF2B5EF4-FFF2-40B4-BE49-F238E27FC236}">
              <a16:creationId xmlns:a16="http://schemas.microsoft.com/office/drawing/2014/main" id="{2A97543D-B8C0-46C9-AD68-CC721B5C1D6B}"/>
            </a:ext>
          </a:extLst>
        </xdr:cNvPr>
        <xdr:cNvGrpSpPr/>
      </xdr:nvGrpSpPr>
      <xdr:grpSpPr>
        <a:xfrm>
          <a:off x="8530080" y="2624787"/>
          <a:ext cx="13657729" cy="5274799"/>
          <a:chOff x="9237011" y="7554300"/>
          <a:chExt cx="13478503" cy="5202323"/>
        </a:xfrm>
      </xdr:grpSpPr>
      <xdr:sp macro="" textlink="">
        <xdr:nvSpPr>
          <xdr:cNvPr id="9" name="Rectangle 8">
            <a:extLst>
              <a:ext uri="{FF2B5EF4-FFF2-40B4-BE49-F238E27FC236}">
                <a16:creationId xmlns:a16="http://schemas.microsoft.com/office/drawing/2014/main" id="{C482D038-2E09-4C53-AB10-46BB743D93BC}"/>
              </a:ext>
            </a:extLst>
          </xdr:cNvPr>
          <xdr:cNvSpPr/>
        </xdr:nvSpPr>
        <xdr:spPr>
          <a:xfrm>
            <a:off x="9237011" y="7554300"/>
            <a:ext cx="13478503" cy="5202323"/>
          </a:xfrm>
          <a:prstGeom prst="rect">
            <a:avLst/>
          </a:prstGeom>
          <a:noFill/>
          <a:ln w="1270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aphicFrame macro="">
        <xdr:nvGraphicFramePr>
          <xdr:cNvPr id="67" name="Graphique 66">
            <a:extLst>
              <a:ext uri="{FF2B5EF4-FFF2-40B4-BE49-F238E27FC236}">
                <a16:creationId xmlns:a16="http://schemas.microsoft.com/office/drawing/2014/main" id="{1EBB7D53-802F-4F33-9CA1-388EADE36274}"/>
              </a:ext>
            </a:extLst>
          </xdr:cNvPr>
          <xdr:cNvGraphicFramePr>
            <a:graphicFrameLocks/>
          </xdr:cNvGraphicFramePr>
        </xdr:nvGraphicFramePr>
        <xdr:xfrm>
          <a:off x="19043862" y="7597830"/>
          <a:ext cx="3612030" cy="4123243"/>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68" name="Graphique 67">
            <a:extLst>
              <a:ext uri="{FF2B5EF4-FFF2-40B4-BE49-F238E27FC236}">
                <a16:creationId xmlns:a16="http://schemas.microsoft.com/office/drawing/2014/main" id="{FE28F83B-6DC0-49A2-89DB-997B7E60BD60}"/>
              </a:ext>
            </a:extLst>
          </xdr:cNvPr>
          <xdr:cNvGraphicFramePr>
            <a:graphicFrameLocks/>
          </xdr:cNvGraphicFramePr>
        </xdr:nvGraphicFramePr>
        <xdr:xfrm>
          <a:off x="12332107" y="7597003"/>
          <a:ext cx="3609975" cy="412687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72" name="Graphique 71">
            <a:extLst>
              <a:ext uri="{FF2B5EF4-FFF2-40B4-BE49-F238E27FC236}">
                <a16:creationId xmlns:a16="http://schemas.microsoft.com/office/drawing/2014/main" id="{4E13D05C-3944-44B2-962D-8A413E75F43B}"/>
              </a:ext>
            </a:extLst>
          </xdr:cNvPr>
          <xdr:cNvGraphicFramePr>
            <a:graphicFrameLocks/>
          </xdr:cNvGraphicFramePr>
        </xdr:nvGraphicFramePr>
        <xdr:xfrm>
          <a:off x="15995863" y="7596188"/>
          <a:ext cx="3001774" cy="4128414"/>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145" name="Groupe 144">
            <a:extLst>
              <a:ext uri="{FF2B5EF4-FFF2-40B4-BE49-F238E27FC236}">
                <a16:creationId xmlns:a16="http://schemas.microsoft.com/office/drawing/2014/main" id="{DF227BB0-9276-44D9-826B-25AF8B47426A}"/>
              </a:ext>
            </a:extLst>
          </xdr:cNvPr>
          <xdr:cNvGrpSpPr/>
        </xdr:nvGrpSpPr>
        <xdr:grpSpPr>
          <a:xfrm>
            <a:off x="10627640" y="11745361"/>
            <a:ext cx="1873792" cy="779182"/>
            <a:chOff x="10204216" y="12463646"/>
            <a:chExt cx="1873792" cy="779182"/>
          </a:xfrm>
        </xdr:grpSpPr>
        <xdr:grpSp>
          <xdr:nvGrpSpPr>
            <xdr:cNvPr id="116" name="Groupe 115">
              <a:extLst>
                <a:ext uri="{FF2B5EF4-FFF2-40B4-BE49-F238E27FC236}">
                  <a16:creationId xmlns:a16="http://schemas.microsoft.com/office/drawing/2014/main" id="{CB8CC308-37B0-466D-81E8-01831079A2E6}"/>
                </a:ext>
              </a:extLst>
            </xdr:cNvPr>
            <xdr:cNvGrpSpPr/>
          </xdr:nvGrpSpPr>
          <xdr:grpSpPr>
            <a:xfrm>
              <a:off x="10381527" y="12946959"/>
              <a:ext cx="206335" cy="98381"/>
              <a:chOff x="28820269" y="7548562"/>
              <a:chExt cx="297656" cy="142875"/>
            </a:xfrm>
            <a:solidFill>
              <a:schemeClr val="accent3"/>
            </a:solidFill>
          </xdr:grpSpPr>
          <xdr:cxnSp macro="">
            <xdr:nvCxnSpPr>
              <xdr:cNvPr id="126" name="Connecteur droit 125">
                <a:extLst>
                  <a:ext uri="{FF2B5EF4-FFF2-40B4-BE49-F238E27FC236}">
                    <a16:creationId xmlns:a16="http://schemas.microsoft.com/office/drawing/2014/main" id="{63727305-3DDC-4E02-B52A-6D96E194A461}"/>
                  </a:ext>
                </a:extLst>
              </xdr:cNvPr>
              <xdr:cNvCxnSpPr/>
            </xdr:nvCxnSpPr>
            <xdr:spPr>
              <a:xfrm>
                <a:off x="28820269" y="7603331"/>
                <a:ext cx="297656" cy="0"/>
              </a:xfrm>
              <a:prstGeom prst="line">
                <a:avLst/>
              </a:prstGeom>
              <a:grpFill/>
              <a:ln w="28575" cap="rnd">
                <a:solidFill>
                  <a:schemeClr val="accent3"/>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27" name="Losange 126">
                <a:extLst>
                  <a:ext uri="{FF2B5EF4-FFF2-40B4-BE49-F238E27FC236}">
                    <a16:creationId xmlns:a16="http://schemas.microsoft.com/office/drawing/2014/main" id="{8264470D-5E53-475B-BE61-38AFBD5619C3}"/>
                  </a:ext>
                </a:extLst>
              </xdr:cNvPr>
              <xdr:cNvSpPr/>
            </xdr:nvSpPr>
            <xdr:spPr>
              <a:xfrm>
                <a:off x="28908376" y="7548562"/>
                <a:ext cx="142874" cy="142875"/>
              </a:xfrm>
              <a:prstGeom prst="diamond">
                <a:avLst/>
              </a:prstGeom>
              <a:grpFill/>
              <a:ln w="28575">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nvGrpSpPr>
            <xdr:cNvPr id="117" name="Groupe 116">
              <a:extLst>
                <a:ext uri="{FF2B5EF4-FFF2-40B4-BE49-F238E27FC236}">
                  <a16:creationId xmlns:a16="http://schemas.microsoft.com/office/drawing/2014/main" id="{4425973D-BD10-4AB0-9D3C-59E5B5BEC23C}"/>
                </a:ext>
              </a:extLst>
            </xdr:cNvPr>
            <xdr:cNvGrpSpPr/>
          </xdr:nvGrpSpPr>
          <xdr:grpSpPr>
            <a:xfrm>
              <a:off x="10380038" y="12759230"/>
              <a:ext cx="206335" cy="65587"/>
              <a:chOff x="28667869" y="7405687"/>
              <a:chExt cx="297656" cy="95250"/>
            </a:xfrm>
            <a:solidFill>
              <a:schemeClr val="accent3">
                <a:lumMod val="50000"/>
              </a:schemeClr>
            </a:solidFill>
          </xdr:grpSpPr>
          <xdr:sp macro="" textlink="">
            <xdr:nvSpPr>
              <xdr:cNvPr id="124" name="Rectangle 123">
                <a:extLst>
                  <a:ext uri="{FF2B5EF4-FFF2-40B4-BE49-F238E27FC236}">
                    <a16:creationId xmlns:a16="http://schemas.microsoft.com/office/drawing/2014/main" id="{791E29E3-9B60-498D-9191-BC05B7AEF113}"/>
                  </a:ext>
                </a:extLst>
              </xdr:cNvPr>
              <xdr:cNvSpPr/>
            </xdr:nvSpPr>
            <xdr:spPr>
              <a:xfrm>
                <a:off x="28777406" y="7405687"/>
                <a:ext cx="95250" cy="95250"/>
              </a:xfrm>
              <a:prstGeom prst="rect">
                <a:avLst/>
              </a:prstGeom>
              <a:grpFill/>
              <a:ln w="28575">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xnSp macro="">
            <xdr:nvCxnSpPr>
              <xdr:cNvPr id="125" name="Connecteur droit 124">
                <a:extLst>
                  <a:ext uri="{FF2B5EF4-FFF2-40B4-BE49-F238E27FC236}">
                    <a16:creationId xmlns:a16="http://schemas.microsoft.com/office/drawing/2014/main" id="{BBA4E0E0-2E80-421D-970B-F78AD0866EFB}"/>
                  </a:ext>
                </a:extLst>
              </xdr:cNvPr>
              <xdr:cNvCxnSpPr/>
            </xdr:nvCxnSpPr>
            <xdr:spPr>
              <a:xfrm>
                <a:off x="28667869" y="7450931"/>
                <a:ext cx="297656" cy="0"/>
              </a:xfrm>
              <a:prstGeom prst="line">
                <a:avLst/>
              </a:prstGeom>
              <a:grpFill/>
              <a:ln w="28575" cap="rnd">
                <a:solidFill>
                  <a:schemeClr val="accent3">
                    <a:lumMod val="50000"/>
                  </a:schemeClr>
                </a:solidFill>
              </a:ln>
            </xdr:spPr>
            <xdr:style>
              <a:lnRef idx="1">
                <a:schemeClr val="accent1"/>
              </a:lnRef>
              <a:fillRef idx="0">
                <a:schemeClr val="accent1"/>
              </a:fillRef>
              <a:effectRef idx="0">
                <a:schemeClr val="accent1"/>
              </a:effectRef>
              <a:fontRef idx="minor">
                <a:schemeClr val="tx1"/>
              </a:fontRef>
            </xdr:style>
          </xdr:cxnSp>
        </xdr:grpSp>
        <xdr:grpSp>
          <xdr:nvGrpSpPr>
            <xdr:cNvPr id="118" name="Groupe 117">
              <a:extLst>
                <a:ext uri="{FF2B5EF4-FFF2-40B4-BE49-F238E27FC236}">
                  <a16:creationId xmlns:a16="http://schemas.microsoft.com/office/drawing/2014/main" id="{2150D106-53CC-44B7-8509-6CB488A93A3A}"/>
                </a:ext>
              </a:extLst>
            </xdr:cNvPr>
            <xdr:cNvGrpSpPr/>
          </xdr:nvGrpSpPr>
          <xdr:grpSpPr>
            <a:xfrm>
              <a:off x="10376238" y="12567737"/>
              <a:ext cx="206335" cy="65587"/>
              <a:chOff x="28515469" y="7250906"/>
              <a:chExt cx="297656" cy="95250"/>
            </a:xfrm>
            <a:solidFill>
              <a:srgbClr val="D99694"/>
            </a:solidFill>
          </xdr:grpSpPr>
          <xdr:cxnSp macro="">
            <xdr:nvCxnSpPr>
              <xdr:cNvPr id="122" name="Connecteur droit 121">
                <a:extLst>
                  <a:ext uri="{FF2B5EF4-FFF2-40B4-BE49-F238E27FC236}">
                    <a16:creationId xmlns:a16="http://schemas.microsoft.com/office/drawing/2014/main" id="{523C7405-D826-4E87-B053-7EB7E1A10867}"/>
                  </a:ext>
                </a:extLst>
              </xdr:cNvPr>
              <xdr:cNvCxnSpPr/>
            </xdr:nvCxnSpPr>
            <xdr:spPr>
              <a:xfrm>
                <a:off x="28515469" y="7298531"/>
                <a:ext cx="297656" cy="0"/>
              </a:xfrm>
              <a:prstGeom prst="line">
                <a:avLst/>
              </a:prstGeom>
              <a:grpFill/>
              <a:ln w="28575" cap="rnd">
                <a:solidFill>
                  <a:srgbClr val="D99694"/>
                </a:solidFill>
              </a:ln>
            </xdr:spPr>
            <xdr:style>
              <a:lnRef idx="1">
                <a:schemeClr val="accent1"/>
              </a:lnRef>
              <a:fillRef idx="0">
                <a:schemeClr val="accent1"/>
              </a:fillRef>
              <a:effectRef idx="0">
                <a:schemeClr val="accent1"/>
              </a:effectRef>
              <a:fontRef idx="minor">
                <a:schemeClr val="tx1"/>
              </a:fontRef>
            </xdr:style>
          </xdr:cxnSp>
          <xdr:sp macro="" textlink="">
            <xdr:nvSpPr>
              <xdr:cNvPr id="123" name="Ellipse 122">
                <a:extLst>
                  <a:ext uri="{FF2B5EF4-FFF2-40B4-BE49-F238E27FC236}">
                    <a16:creationId xmlns:a16="http://schemas.microsoft.com/office/drawing/2014/main" id="{4534B73B-3F84-4409-A64A-F882170CF774}"/>
                  </a:ext>
                </a:extLst>
              </xdr:cNvPr>
              <xdr:cNvSpPr/>
            </xdr:nvSpPr>
            <xdr:spPr>
              <a:xfrm>
                <a:off x="28622625" y="7250906"/>
                <a:ext cx="95250" cy="95250"/>
              </a:xfrm>
              <a:prstGeom prst="ellipse">
                <a:avLst/>
              </a:prstGeom>
              <a:grpFill/>
              <a:ln w="28575">
                <a:solidFill>
                  <a:srgbClr val="D9969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119" name="Rectangle 118">
              <a:extLst>
                <a:ext uri="{FF2B5EF4-FFF2-40B4-BE49-F238E27FC236}">
                  <a16:creationId xmlns:a16="http://schemas.microsoft.com/office/drawing/2014/main" id="{7EA4FA84-17B9-43CB-B4D8-80610D986E7A}"/>
                </a:ext>
              </a:extLst>
            </xdr:cNvPr>
            <xdr:cNvSpPr/>
          </xdr:nvSpPr>
          <xdr:spPr>
            <a:xfrm>
              <a:off x="10208558" y="12550614"/>
              <a:ext cx="110109" cy="109375"/>
            </a:xfrm>
            <a:prstGeom prst="rect">
              <a:avLst/>
            </a:prstGeom>
            <a:solidFill>
              <a:srgbClr val="D996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0" name="Rectangle 119">
              <a:extLst>
                <a:ext uri="{FF2B5EF4-FFF2-40B4-BE49-F238E27FC236}">
                  <a16:creationId xmlns:a16="http://schemas.microsoft.com/office/drawing/2014/main" id="{CBF3DEB2-B6EF-47C1-809D-62411CA4CA3B}"/>
                </a:ext>
              </a:extLst>
            </xdr:cNvPr>
            <xdr:cNvSpPr/>
          </xdr:nvSpPr>
          <xdr:spPr>
            <a:xfrm>
              <a:off x="10204216" y="12734670"/>
              <a:ext cx="110109" cy="109375"/>
            </a:xfrm>
            <a:prstGeom prst="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1" name="ZoneTexte 120">
              <a:extLst>
                <a:ext uri="{FF2B5EF4-FFF2-40B4-BE49-F238E27FC236}">
                  <a16:creationId xmlns:a16="http://schemas.microsoft.com/office/drawing/2014/main" id="{86803038-9837-4A4A-A581-A35C73A718B9}"/>
                </a:ext>
              </a:extLst>
            </xdr:cNvPr>
            <xdr:cNvSpPr txBox="1"/>
          </xdr:nvSpPr>
          <xdr:spPr>
            <a:xfrm>
              <a:off x="10554008" y="12463646"/>
              <a:ext cx="1524000" cy="779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Semences</a:t>
              </a:r>
            </a:p>
            <a:p>
              <a:r>
                <a:rPr lang="fr-FR" sz="1200"/>
                <a:t>Engrais</a:t>
              </a:r>
              <a:r>
                <a:rPr lang="fr-FR" sz="1200" baseline="0"/>
                <a:t> total</a:t>
              </a:r>
            </a:p>
            <a:p>
              <a:r>
                <a:rPr lang="fr-FR" sz="1200"/>
                <a:t>dont azote simple</a:t>
              </a:r>
            </a:p>
            <a:p>
              <a:endParaRPr lang="fr-FR" sz="1200"/>
            </a:p>
          </xdr:txBody>
        </xdr:sp>
      </xdr:grpSp>
      <xdr:grpSp>
        <xdr:nvGrpSpPr>
          <xdr:cNvPr id="150" name="Groupe 149">
            <a:extLst>
              <a:ext uri="{FF2B5EF4-FFF2-40B4-BE49-F238E27FC236}">
                <a16:creationId xmlns:a16="http://schemas.microsoft.com/office/drawing/2014/main" id="{3740A6FE-3894-409E-A340-F21F7AA9C8CD}"/>
              </a:ext>
            </a:extLst>
          </xdr:cNvPr>
          <xdr:cNvGrpSpPr/>
        </xdr:nvGrpSpPr>
        <xdr:grpSpPr>
          <a:xfrm>
            <a:off x="18631907" y="11746001"/>
            <a:ext cx="3028257" cy="540892"/>
            <a:chOff x="17977092" y="12488794"/>
            <a:chExt cx="3028257" cy="540892"/>
          </a:xfrm>
        </xdr:grpSpPr>
        <xdr:grpSp>
          <xdr:nvGrpSpPr>
            <xdr:cNvPr id="91" name="Groupe 90">
              <a:extLst>
                <a:ext uri="{FF2B5EF4-FFF2-40B4-BE49-F238E27FC236}">
                  <a16:creationId xmlns:a16="http://schemas.microsoft.com/office/drawing/2014/main" id="{95908FC4-FC32-48F2-9EDE-6215F79A4F54}"/>
                </a:ext>
              </a:extLst>
            </xdr:cNvPr>
            <xdr:cNvGrpSpPr/>
          </xdr:nvGrpSpPr>
          <xdr:grpSpPr>
            <a:xfrm>
              <a:off x="18133808" y="12786495"/>
              <a:ext cx="206335" cy="65587"/>
              <a:chOff x="28515469" y="7250906"/>
              <a:chExt cx="297656" cy="95250"/>
            </a:xfrm>
            <a:solidFill>
              <a:srgbClr val="FF0000"/>
            </a:solidFill>
          </xdr:grpSpPr>
          <xdr:cxnSp macro="">
            <xdr:nvCxnSpPr>
              <xdr:cNvPr id="101" name="Connecteur droit 100">
                <a:extLst>
                  <a:ext uri="{FF2B5EF4-FFF2-40B4-BE49-F238E27FC236}">
                    <a16:creationId xmlns:a16="http://schemas.microsoft.com/office/drawing/2014/main" id="{4CD29DCC-BDF1-4AF2-BB46-D545B96893BF}"/>
                  </a:ext>
                </a:extLst>
              </xdr:cNvPr>
              <xdr:cNvCxnSpPr/>
            </xdr:nvCxnSpPr>
            <xdr:spPr>
              <a:xfrm>
                <a:off x="28515469" y="7298531"/>
                <a:ext cx="297656" cy="0"/>
              </a:xfrm>
              <a:prstGeom prst="line">
                <a:avLst/>
              </a:prstGeom>
              <a:grpFill/>
              <a:ln w="28575" cap="rnd">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02" name="Ellipse 101">
                <a:extLst>
                  <a:ext uri="{FF2B5EF4-FFF2-40B4-BE49-F238E27FC236}">
                    <a16:creationId xmlns:a16="http://schemas.microsoft.com/office/drawing/2014/main" id="{A2AC8ECA-09DE-4716-9EF8-E5971B6D80BB}"/>
                  </a:ext>
                </a:extLst>
              </xdr:cNvPr>
              <xdr:cNvSpPr/>
            </xdr:nvSpPr>
            <xdr:spPr>
              <a:xfrm>
                <a:off x="28622625" y="7250906"/>
                <a:ext cx="95250" cy="95250"/>
              </a:xfrm>
              <a:prstGeom prst="ellipse">
                <a:avLst/>
              </a:prstGeom>
              <a:grp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92" name="ZoneTexte 91">
              <a:extLst>
                <a:ext uri="{FF2B5EF4-FFF2-40B4-BE49-F238E27FC236}">
                  <a16:creationId xmlns:a16="http://schemas.microsoft.com/office/drawing/2014/main" id="{D20852EA-F6C4-4CB7-97C5-F391D256EEE3}"/>
                </a:ext>
              </a:extLst>
            </xdr:cNvPr>
            <xdr:cNvSpPr txBox="1"/>
          </xdr:nvSpPr>
          <xdr:spPr>
            <a:xfrm>
              <a:off x="18280078" y="12488794"/>
              <a:ext cx="2725271" cy="540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Rémunération de la</a:t>
              </a:r>
              <a:r>
                <a:rPr lang="fr-FR" sz="1200" baseline="0"/>
                <a:t> MO familiale</a:t>
              </a:r>
            </a:p>
            <a:p>
              <a:r>
                <a:rPr lang="fr-FR" sz="1200" baseline="0"/>
                <a:t>Total des charges</a:t>
              </a:r>
              <a:endParaRPr lang="fr-FR" sz="1200"/>
            </a:p>
          </xdr:txBody>
        </xdr:sp>
        <xdr:grpSp>
          <xdr:nvGrpSpPr>
            <xdr:cNvPr id="94" name="Groupe 93">
              <a:extLst>
                <a:ext uri="{FF2B5EF4-FFF2-40B4-BE49-F238E27FC236}">
                  <a16:creationId xmlns:a16="http://schemas.microsoft.com/office/drawing/2014/main" id="{DB832901-C2D4-43F0-BDFF-0A4478D5035C}"/>
                </a:ext>
              </a:extLst>
            </xdr:cNvPr>
            <xdr:cNvGrpSpPr/>
          </xdr:nvGrpSpPr>
          <xdr:grpSpPr>
            <a:xfrm>
              <a:off x="18133808" y="12601279"/>
              <a:ext cx="206335" cy="65587"/>
              <a:chOff x="28515469" y="7250906"/>
              <a:chExt cx="297656" cy="95250"/>
            </a:xfrm>
            <a:solidFill>
              <a:schemeClr val="accent5">
                <a:lumMod val="75000"/>
              </a:schemeClr>
            </a:solidFill>
          </xdr:grpSpPr>
          <xdr:cxnSp macro="">
            <xdr:nvCxnSpPr>
              <xdr:cNvPr id="97" name="Connecteur droit 96">
                <a:extLst>
                  <a:ext uri="{FF2B5EF4-FFF2-40B4-BE49-F238E27FC236}">
                    <a16:creationId xmlns:a16="http://schemas.microsoft.com/office/drawing/2014/main" id="{D389B92E-BAA0-474C-AA93-CA5E11176A90}"/>
                  </a:ext>
                </a:extLst>
              </xdr:cNvPr>
              <xdr:cNvCxnSpPr/>
            </xdr:nvCxnSpPr>
            <xdr:spPr>
              <a:xfrm>
                <a:off x="28515469" y="7298531"/>
                <a:ext cx="297656" cy="0"/>
              </a:xfrm>
              <a:prstGeom prst="line">
                <a:avLst/>
              </a:prstGeom>
              <a:grpFill/>
              <a:ln w="28575" cap="rnd">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98" name="Ellipse 97">
                <a:extLst>
                  <a:ext uri="{FF2B5EF4-FFF2-40B4-BE49-F238E27FC236}">
                    <a16:creationId xmlns:a16="http://schemas.microsoft.com/office/drawing/2014/main" id="{D30773E4-0D10-46ED-9E8E-F3E79ADCAC47}"/>
                  </a:ext>
                </a:extLst>
              </xdr:cNvPr>
              <xdr:cNvSpPr/>
            </xdr:nvSpPr>
            <xdr:spPr>
              <a:xfrm>
                <a:off x="28622625" y="7250906"/>
                <a:ext cx="95250" cy="95250"/>
              </a:xfrm>
              <a:prstGeom prst="ellipse">
                <a:avLst/>
              </a:prstGeom>
              <a:grpFill/>
              <a:ln w="28575">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96" name="Rectangle 95">
              <a:extLst>
                <a:ext uri="{FF2B5EF4-FFF2-40B4-BE49-F238E27FC236}">
                  <a16:creationId xmlns:a16="http://schemas.microsoft.com/office/drawing/2014/main" id="{3D9CF7C7-8C93-4601-8E5D-C340C81E860C}"/>
                </a:ext>
              </a:extLst>
            </xdr:cNvPr>
            <xdr:cNvSpPr/>
          </xdr:nvSpPr>
          <xdr:spPr>
            <a:xfrm>
              <a:off x="17977092" y="12578506"/>
              <a:ext cx="110109" cy="109375"/>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nvGrpSpPr>
          <xdr:cNvPr id="149" name="Groupe 148">
            <a:extLst>
              <a:ext uri="{FF2B5EF4-FFF2-40B4-BE49-F238E27FC236}">
                <a16:creationId xmlns:a16="http://schemas.microsoft.com/office/drawing/2014/main" id="{0E8196D4-21DF-4E98-BDD5-BC47F133844B}"/>
              </a:ext>
            </a:extLst>
          </xdr:cNvPr>
          <xdr:cNvGrpSpPr/>
        </xdr:nvGrpSpPr>
        <xdr:grpSpPr>
          <a:xfrm>
            <a:off x="16765569" y="11744825"/>
            <a:ext cx="2049907" cy="682778"/>
            <a:chOff x="15675326" y="12486571"/>
            <a:chExt cx="2049907" cy="682778"/>
          </a:xfrm>
        </xdr:grpSpPr>
        <xdr:grpSp>
          <xdr:nvGrpSpPr>
            <xdr:cNvPr id="93" name="Groupe 92">
              <a:extLst>
                <a:ext uri="{FF2B5EF4-FFF2-40B4-BE49-F238E27FC236}">
                  <a16:creationId xmlns:a16="http://schemas.microsoft.com/office/drawing/2014/main" id="{D606D827-2686-4786-9FF4-1380A56E84A0}"/>
                </a:ext>
              </a:extLst>
            </xdr:cNvPr>
            <xdr:cNvGrpSpPr/>
          </xdr:nvGrpSpPr>
          <xdr:grpSpPr>
            <a:xfrm>
              <a:off x="15827945" y="12974315"/>
              <a:ext cx="206335" cy="65587"/>
              <a:chOff x="28515469" y="7250906"/>
              <a:chExt cx="297656" cy="95250"/>
            </a:xfrm>
            <a:solidFill>
              <a:schemeClr val="tx1"/>
            </a:solidFill>
          </xdr:grpSpPr>
          <xdr:cxnSp macro="">
            <xdr:nvCxnSpPr>
              <xdr:cNvPr id="99" name="Connecteur droit 98">
                <a:extLst>
                  <a:ext uri="{FF2B5EF4-FFF2-40B4-BE49-F238E27FC236}">
                    <a16:creationId xmlns:a16="http://schemas.microsoft.com/office/drawing/2014/main" id="{305DEF31-31C3-4D06-A8F7-B4A70BF4CBB0}"/>
                  </a:ext>
                </a:extLst>
              </xdr:cNvPr>
              <xdr:cNvCxnSpPr/>
            </xdr:nvCxnSpPr>
            <xdr:spPr>
              <a:xfrm>
                <a:off x="28515469" y="7298531"/>
                <a:ext cx="297656" cy="0"/>
              </a:xfrm>
              <a:prstGeom prst="line">
                <a:avLst/>
              </a:prstGeom>
              <a:grpFill/>
              <a:ln w="28575" cap="rnd">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00" name="Ellipse 99">
                <a:extLst>
                  <a:ext uri="{FF2B5EF4-FFF2-40B4-BE49-F238E27FC236}">
                    <a16:creationId xmlns:a16="http://schemas.microsoft.com/office/drawing/2014/main" id="{11CF31CA-6123-42C6-928B-289AEDE1FAD6}"/>
                  </a:ext>
                </a:extLst>
              </xdr:cNvPr>
              <xdr:cNvSpPr/>
            </xdr:nvSpPr>
            <xdr:spPr>
              <a:xfrm>
                <a:off x="28622625" y="7250906"/>
                <a:ext cx="95250" cy="95250"/>
              </a:xfrm>
              <a:prstGeom prst="ellipse">
                <a:avLst/>
              </a:prstGeom>
              <a:solidFill>
                <a:schemeClr val="bg1">
                  <a:lumMod val="65000"/>
                </a:schemeClr>
              </a:solid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95" name="Rectangle 94">
              <a:extLst>
                <a:ext uri="{FF2B5EF4-FFF2-40B4-BE49-F238E27FC236}">
                  <a16:creationId xmlns:a16="http://schemas.microsoft.com/office/drawing/2014/main" id="{C6AFE82B-4957-4DB5-B00A-D8FB675970A2}"/>
                </a:ext>
              </a:extLst>
            </xdr:cNvPr>
            <xdr:cNvSpPr/>
          </xdr:nvSpPr>
          <xdr:spPr>
            <a:xfrm>
              <a:off x="15675326" y="12938635"/>
              <a:ext cx="110109" cy="109375"/>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80" name="ZoneTexte 79">
              <a:extLst>
                <a:ext uri="{FF2B5EF4-FFF2-40B4-BE49-F238E27FC236}">
                  <a16:creationId xmlns:a16="http://schemas.microsoft.com/office/drawing/2014/main" id="{65947A0D-DC28-4ABF-9CB3-A3D629ABDF35}"/>
                </a:ext>
              </a:extLst>
            </xdr:cNvPr>
            <xdr:cNvSpPr txBox="1"/>
          </xdr:nvSpPr>
          <xdr:spPr>
            <a:xfrm>
              <a:off x="15983839" y="12486571"/>
              <a:ext cx="1741394" cy="682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aseline="0"/>
                <a:t>Entretien-réparation</a:t>
              </a:r>
            </a:p>
            <a:p>
              <a:r>
                <a:rPr lang="fr-FR" sz="1200" baseline="0"/>
                <a:t>Travaux par tiers</a:t>
              </a: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dk1"/>
                  </a:solidFill>
                  <a:effectLst/>
                  <a:latin typeface="+mn-lt"/>
                  <a:ea typeface="+mn-ea"/>
                  <a:cs typeface="+mn-cs"/>
                </a:rPr>
                <a:t>Autres charges (1)</a:t>
              </a:r>
              <a:endParaRPr lang="fr-FR" sz="1400">
                <a:effectLst/>
              </a:endParaRPr>
            </a:p>
            <a:p>
              <a:endParaRPr lang="fr-FR" sz="1200" baseline="0"/>
            </a:p>
          </xdr:txBody>
        </xdr:sp>
        <xdr:grpSp>
          <xdr:nvGrpSpPr>
            <xdr:cNvPr id="81" name="Groupe 80">
              <a:extLst>
                <a:ext uri="{FF2B5EF4-FFF2-40B4-BE49-F238E27FC236}">
                  <a16:creationId xmlns:a16="http://schemas.microsoft.com/office/drawing/2014/main" id="{FA1E69DE-BC24-4789-B694-F2212F2B1765}"/>
                </a:ext>
              </a:extLst>
            </xdr:cNvPr>
            <xdr:cNvGrpSpPr/>
          </xdr:nvGrpSpPr>
          <xdr:grpSpPr>
            <a:xfrm>
              <a:off x="15826980" y="12596936"/>
              <a:ext cx="206335" cy="65587"/>
              <a:chOff x="28515469" y="7250906"/>
              <a:chExt cx="297656" cy="95250"/>
            </a:xfrm>
            <a:solidFill>
              <a:srgbClr val="CC00CC"/>
            </a:solidFill>
          </xdr:grpSpPr>
          <xdr:cxnSp macro="">
            <xdr:nvCxnSpPr>
              <xdr:cNvPr id="87" name="Connecteur droit 86">
                <a:extLst>
                  <a:ext uri="{FF2B5EF4-FFF2-40B4-BE49-F238E27FC236}">
                    <a16:creationId xmlns:a16="http://schemas.microsoft.com/office/drawing/2014/main" id="{AD5205C2-25CB-4D67-9CCC-6DC9CC7EA58A}"/>
                  </a:ext>
                </a:extLst>
              </xdr:cNvPr>
              <xdr:cNvCxnSpPr/>
            </xdr:nvCxnSpPr>
            <xdr:spPr>
              <a:xfrm>
                <a:off x="28515469" y="7298531"/>
                <a:ext cx="297656" cy="0"/>
              </a:xfrm>
              <a:prstGeom prst="line">
                <a:avLst/>
              </a:prstGeom>
              <a:grpFill/>
              <a:ln w="28575" cap="rnd">
                <a:solidFill>
                  <a:srgbClr val="CC00CC"/>
                </a:solidFill>
              </a:ln>
            </xdr:spPr>
            <xdr:style>
              <a:lnRef idx="1">
                <a:schemeClr val="accent1"/>
              </a:lnRef>
              <a:fillRef idx="0">
                <a:schemeClr val="accent1"/>
              </a:fillRef>
              <a:effectRef idx="0">
                <a:schemeClr val="accent1"/>
              </a:effectRef>
              <a:fontRef idx="minor">
                <a:schemeClr val="tx1"/>
              </a:fontRef>
            </xdr:style>
          </xdr:cxnSp>
          <xdr:sp macro="" textlink="">
            <xdr:nvSpPr>
              <xdr:cNvPr id="88" name="Ellipse 87">
                <a:extLst>
                  <a:ext uri="{FF2B5EF4-FFF2-40B4-BE49-F238E27FC236}">
                    <a16:creationId xmlns:a16="http://schemas.microsoft.com/office/drawing/2014/main" id="{45A3908C-C621-4524-A13A-778E5F8F1D3C}"/>
                  </a:ext>
                </a:extLst>
              </xdr:cNvPr>
              <xdr:cNvSpPr/>
            </xdr:nvSpPr>
            <xdr:spPr>
              <a:xfrm>
                <a:off x="28622625" y="7250906"/>
                <a:ext cx="95250" cy="95250"/>
              </a:xfrm>
              <a:prstGeom prst="ellipse">
                <a:avLst/>
              </a:prstGeom>
              <a:grpFill/>
              <a:ln w="28575">
                <a:solidFill>
                  <a:srgbClr val="CC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nvGrpSpPr>
            <xdr:cNvPr id="82" name="Groupe 81">
              <a:extLst>
                <a:ext uri="{FF2B5EF4-FFF2-40B4-BE49-F238E27FC236}">
                  <a16:creationId xmlns:a16="http://schemas.microsoft.com/office/drawing/2014/main" id="{2FF5080E-5A2E-4D06-AE39-9C23EE9ACB7E}"/>
                </a:ext>
              </a:extLst>
            </xdr:cNvPr>
            <xdr:cNvGrpSpPr/>
          </xdr:nvGrpSpPr>
          <xdr:grpSpPr>
            <a:xfrm>
              <a:off x="15822498" y="12771132"/>
              <a:ext cx="206335" cy="65587"/>
              <a:chOff x="28515469" y="7250906"/>
              <a:chExt cx="297656" cy="95250"/>
            </a:xfrm>
            <a:solidFill>
              <a:schemeClr val="accent6">
                <a:lumMod val="75000"/>
              </a:schemeClr>
            </a:solidFill>
          </xdr:grpSpPr>
          <xdr:cxnSp macro="">
            <xdr:nvCxnSpPr>
              <xdr:cNvPr id="85" name="Connecteur droit 84">
                <a:extLst>
                  <a:ext uri="{FF2B5EF4-FFF2-40B4-BE49-F238E27FC236}">
                    <a16:creationId xmlns:a16="http://schemas.microsoft.com/office/drawing/2014/main" id="{355E8EA0-91E3-47BB-9FF4-C5F6E45DA400}"/>
                  </a:ext>
                </a:extLst>
              </xdr:cNvPr>
              <xdr:cNvCxnSpPr/>
            </xdr:nvCxnSpPr>
            <xdr:spPr>
              <a:xfrm>
                <a:off x="28515469" y="7298531"/>
                <a:ext cx="297656" cy="0"/>
              </a:xfrm>
              <a:prstGeom prst="line">
                <a:avLst/>
              </a:prstGeom>
              <a:grpFill/>
              <a:ln w="28575" cap="rnd">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86" name="Ellipse 85">
                <a:extLst>
                  <a:ext uri="{FF2B5EF4-FFF2-40B4-BE49-F238E27FC236}">
                    <a16:creationId xmlns:a16="http://schemas.microsoft.com/office/drawing/2014/main" id="{6F2D5334-B9C2-45ED-B196-54D4F2CEF0D6}"/>
                  </a:ext>
                </a:extLst>
              </xdr:cNvPr>
              <xdr:cNvSpPr/>
            </xdr:nvSpPr>
            <xdr:spPr>
              <a:xfrm>
                <a:off x="28622625" y="7250906"/>
                <a:ext cx="95250" cy="95250"/>
              </a:xfrm>
              <a:prstGeom prst="ellipse">
                <a:avLst/>
              </a:prstGeom>
              <a:grp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83" name="Rectangle 82">
              <a:extLst>
                <a:ext uri="{FF2B5EF4-FFF2-40B4-BE49-F238E27FC236}">
                  <a16:creationId xmlns:a16="http://schemas.microsoft.com/office/drawing/2014/main" id="{83FFF348-5A58-4D3E-BAF0-AC59D2455047}"/>
                </a:ext>
              </a:extLst>
            </xdr:cNvPr>
            <xdr:cNvSpPr/>
          </xdr:nvSpPr>
          <xdr:spPr>
            <a:xfrm>
              <a:off x="15679848" y="12571742"/>
              <a:ext cx="110109" cy="109375"/>
            </a:xfrm>
            <a:prstGeom prst="rect">
              <a:avLst/>
            </a:prstGeom>
            <a:solidFill>
              <a:srgbClr val="CC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84" name="Rectangle 83">
              <a:extLst>
                <a:ext uri="{FF2B5EF4-FFF2-40B4-BE49-F238E27FC236}">
                  <a16:creationId xmlns:a16="http://schemas.microsoft.com/office/drawing/2014/main" id="{78722A17-22FB-4AE8-8743-343DA2278273}"/>
                </a:ext>
              </a:extLst>
            </xdr:cNvPr>
            <xdr:cNvSpPr/>
          </xdr:nvSpPr>
          <xdr:spPr>
            <a:xfrm>
              <a:off x="15681162" y="12742482"/>
              <a:ext cx="110109" cy="110410"/>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nvGrpSpPr>
          <xdr:cNvPr id="147" name="Groupe 146">
            <a:extLst>
              <a:ext uri="{FF2B5EF4-FFF2-40B4-BE49-F238E27FC236}">
                <a16:creationId xmlns:a16="http://schemas.microsoft.com/office/drawing/2014/main" id="{FD979335-5C59-4695-8EF5-E82E1955B12B}"/>
              </a:ext>
            </a:extLst>
          </xdr:cNvPr>
          <xdr:cNvGrpSpPr/>
        </xdr:nvGrpSpPr>
        <xdr:grpSpPr>
          <a:xfrm>
            <a:off x="12387591" y="11747586"/>
            <a:ext cx="2822762" cy="674765"/>
            <a:chOff x="12315496" y="12450028"/>
            <a:chExt cx="2822762" cy="674765"/>
          </a:xfrm>
        </xdr:grpSpPr>
        <xdr:grpSp>
          <xdr:nvGrpSpPr>
            <xdr:cNvPr id="103" name="Groupe 102">
              <a:extLst>
                <a:ext uri="{FF2B5EF4-FFF2-40B4-BE49-F238E27FC236}">
                  <a16:creationId xmlns:a16="http://schemas.microsoft.com/office/drawing/2014/main" id="{2C15EDBB-E04F-4737-98A7-3B1299880E67}"/>
                </a:ext>
              </a:extLst>
            </xdr:cNvPr>
            <xdr:cNvGrpSpPr/>
          </xdr:nvGrpSpPr>
          <xdr:grpSpPr>
            <a:xfrm>
              <a:off x="12472584" y="12740889"/>
              <a:ext cx="206335" cy="65587"/>
              <a:chOff x="28515469" y="7250906"/>
              <a:chExt cx="297656" cy="95250"/>
            </a:xfrm>
            <a:solidFill>
              <a:srgbClr val="0070C0"/>
            </a:solidFill>
          </xdr:grpSpPr>
          <xdr:cxnSp macro="">
            <xdr:nvCxnSpPr>
              <xdr:cNvPr id="114" name="Connecteur droit 113">
                <a:extLst>
                  <a:ext uri="{FF2B5EF4-FFF2-40B4-BE49-F238E27FC236}">
                    <a16:creationId xmlns:a16="http://schemas.microsoft.com/office/drawing/2014/main" id="{05AE239A-1C1C-4E9B-B51F-FC18A0C13D89}"/>
                  </a:ext>
                </a:extLst>
              </xdr:cNvPr>
              <xdr:cNvCxnSpPr/>
            </xdr:nvCxnSpPr>
            <xdr:spPr>
              <a:xfrm>
                <a:off x="28515469" y="7298531"/>
                <a:ext cx="297656" cy="0"/>
              </a:xfrm>
              <a:prstGeom prst="line">
                <a:avLst/>
              </a:prstGeom>
              <a:grpFill/>
              <a:ln w="28575" cap="rnd">
                <a:solidFill>
                  <a:srgbClr val="0070C0"/>
                </a:solidFill>
              </a:ln>
            </xdr:spPr>
            <xdr:style>
              <a:lnRef idx="1">
                <a:schemeClr val="accent1"/>
              </a:lnRef>
              <a:fillRef idx="0">
                <a:schemeClr val="accent1"/>
              </a:fillRef>
              <a:effectRef idx="0">
                <a:schemeClr val="accent1"/>
              </a:effectRef>
              <a:fontRef idx="minor">
                <a:schemeClr val="tx1"/>
              </a:fontRef>
            </xdr:style>
          </xdr:cxnSp>
          <xdr:sp macro="" textlink="">
            <xdr:nvSpPr>
              <xdr:cNvPr id="115" name="Ellipse 114">
                <a:extLst>
                  <a:ext uri="{FF2B5EF4-FFF2-40B4-BE49-F238E27FC236}">
                    <a16:creationId xmlns:a16="http://schemas.microsoft.com/office/drawing/2014/main" id="{3F879B38-4F8F-4E0E-8789-7F71985F74CE}"/>
                  </a:ext>
                </a:extLst>
              </xdr:cNvPr>
              <xdr:cNvSpPr/>
            </xdr:nvSpPr>
            <xdr:spPr>
              <a:xfrm>
                <a:off x="28622625" y="7250906"/>
                <a:ext cx="95250" cy="95250"/>
              </a:xfrm>
              <a:prstGeom prst="ellipse">
                <a:avLst/>
              </a:prstGeom>
              <a:grp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105" name="Rectangle 104">
              <a:extLst>
                <a:ext uri="{FF2B5EF4-FFF2-40B4-BE49-F238E27FC236}">
                  <a16:creationId xmlns:a16="http://schemas.microsoft.com/office/drawing/2014/main" id="{B3EDE022-72B0-4A6D-8C35-0E9D1C755AE9}"/>
                </a:ext>
              </a:extLst>
            </xdr:cNvPr>
            <xdr:cNvSpPr/>
          </xdr:nvSpPr>
          <xdr:spPr>
            <a:xfrm>
              <a:off x="12321534" y="12714303"/>
              <a:ext cx="110109" cy="10937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07" name="ZoneTexte 106">
              <a:extLst>
                <a:ext uri="{FF2B5EF4-FFF2-40B4-BE49-F238E27FC236}">
                  <a16:creationId xmlns:a16="http://schemas.microsoft.com/office/drawing/2014/main" id="{0BF65160-DFE7-4823-AAAA-565F6234BCA4}"/>
                </a:ext>
              </a:extLst>
            </xdr:cNvPr>
            <xdr:cNvSpPr txBox="1"/>
          </xdr:nvSpPr>
          <xdr:spPr>
            <a:xfrm>
              <a:off x="12641587" y="12450028"/>
              <a:ext cx="2496671" cy="674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Phytos</a:t>
              </a:r>
            </a:p>
            <a:p>
              <a:r>
                <a:rPr lang="fr-FR" sz="1200"/>
                <a:t>Irrigation (énergie</a:t>
              </a:r>
              <a:r>
                <a:rPr lang="fr-FR" sz="1200" baseline="0"/>
                <a:t> + redevence)</a:t>
              </a: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dk1"/>
                  </a:solidFill>
                  <a:effectLst/>
                  <a:latin typeface="+mn-lt"/>
                  <a:ea typeface="+mn-ea"/>
                  <a:cs typeface="+mn-cs"/>
                </a:rPr>
                <a:t>Autres intrants</a:t>
              </a:r>
              <a:endParaRPr lang="fr-FR" sz="1200">
                <a:effectLst/>
              </a:endParaRPr>
            </a:p>
          </xdr:txBody>
        </xdr:sp>
        <xdr:grpSp>
          <xdr:nvGrpSpPr>
            <xdr:cNvPr id="108" name="Groupe 107">
              <a:extLst>
                <a:ext uri="{FF2B5EF4-FFF2-40B4-BE49-F238E27FC236}">
                  <a16:creationId xmlns:a16="http://schemas.microsoft.com/office/drawing/2014/main" id="{266A77F7-2FFD-413E-853F-6486B52A4FAC}"/>
                </a:ext>
              </a:extLst>
            </xdr:cNvPr>
            <xdr:cNvGrpSpPr/>
          </xdr:nvGrpSpPr>
          <xdr:grpSpPr>
            <a:xfrm>
              <a:off x="12473213" y="12554330"/>
              <a:ext cx="206335" cy="65587"/>
              <a:chOff x="28515469" y="7250906"/>
              <a:chExt cx="297656" cy="95250"/>
            </a:xfrm>
            <a:solidFill>
              <a:srgbClr val="00B0F0"/>
            </a:solidFill>
          </xdr:grpSpPr>
          <xdr:cxnSp macro="">
            <xdr:nvCxnSpPr>
              <xdr:cNvPr id="110" name="Connecteur droit 109">
                <a:extLst>
                  <a:ext uri="{FF2B5EF4-FFF2-40B4-BE49-F238E27FC236}">
                    <a16:creationId xmlns:a16="http://schemas.microsoft.com/office/drawing/2014/main" id="{1C78C3C4-BEFC-40AD-942F-C9BEE2D6BC4C}"/>
                  </a:ext>
                </a:extLst>
              </xdr:cNvPr>
              <xdr:cNvCxnSpPr/>
            </xdr:nvCxnSpPr>
            <xdr:spPr>
              <a:xfrm>
                <a:off x="28515469" y="7298531"/>
                <a:ext cx="297656" cy="0"/>
              </a:xfrm>
              <a:prstGeom prst="line">
                <a:avLst/>
              </a:prstGeom>
              <a:grpFill/>
              <a:ln w="28575" cap="rnd">
                <a:solidFill>
                  <a:srgbClr val="00B0F0"/>
                </a:solidFill>
              </a:ln>
            </xdr:spPr>
            <xdr:style>
              <a:lnRef idx="1">
                <a:schemeClr val="accent1"/>
              </a:lnRef>
              <a:fillRef idx="0">
                <a:schemeClr val="accent1"/>
              </a:fillRef>
              <a:effectRef idx="0">
                <a:schemeClr val="accent1"/>
              </a:effectRef>
              <a:fontRef idx="minor">
                <a:schemeClr val="tx1"/>
              </a:fontRef>
            </xdr:style>
          </xdr:cxnSp>
          <xdr:sp macro="" textlink="">
            <xdr:nvSpPr>
              <xdr:cNvPr id="111" name="Ellipse 110">
                <a:extLst>
                  <a:ext uri="{FF2B5EF4-FFF2-40B4-BE49-F238E27FC236}">
                    <a16:creationId xmlns:a16="http://schemas.microsoft.com/office/drawing/2014/main" id="{B10C4BDA-615F-43E6-B3CF-84A651291F3C}"/>
                  </a:ext>
                </a:extLst>
              </xdr:cNvPr>
              <xdr:cNvSpPr/>
            </xdr:nvSpPr>
            <xdr:spPr>
              <a:xfrm>
                <a:off x="28622625" y="7250906"/>
                <a:ext cx="95250" cy="95250"/>
              </a:xfrm>
              <a:prstGeom prst="ellipse">
                <a:avLst/>
              </a:prstGeom>
              <a:grp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109" name="Rectangle 108">
              <a:extLst>
                <a:ext uri="{FF2B5EF4-FFF2-40B4-BE49-F238E27FC236}">
                  <a16:creationId xmlns:a16="http://schemas.microsoft.com/office/drawing/2014/main" id="{DF4DDEF8-F85D-4391-94AD-5EEA78DFF844}"/>
                </a:ext>
              </a:extLst>
            </xdr:cNvPr>
            <xdr:cNvSpPr/>
          </xdr:nvSpPr>
          <xdr:spPr>
            <a:xfrm>
              <a:off x="12315496" y="12537435"/>
              <a:ext cx="110109" cy="109375"/>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141" name="Groupe 140">
              <a:extLst>
                <a:ext uri="{FF2B5EF4-FFF2-40B4-BE49-F238E27FC236}">
                  <a16:creationId xmlns:a16="http://schemas.microsoft.com/office/drawing/2014/main" id="{A8CA7C85-008F-4094-AD35-DB5F73DC3C39}"/>
                </a:ext>
              </a:extLst>
            </xdr:cNvPr>
            <xdr:cNvGrpSpPr/>
          </xdr:nvGrpSpPr>
          <xdr:grpSpPr>
            <a:xfrm>
              <a:off x="12467878" y="12936184"/>
              <a:ext cx="209608" cy="65587"/>
              <a:chOff x="12624408" y="13678293"/>
              <a:chExt cx="302378" cy="94615"/>
            </a:xfrm>
          </xdr:grpSpPr>
          <xdr:cxnSp macro="">
            <xdr:nvCxnSpPr>
              <xdr:cNvPr id="128" name="Connecteur droit 127">
                <a:extLst>
                  <a:ext uri="{FF2B5EF4-FFF2-40B4-BE49-F238E27FC236}">
                    <a16:creationId xmlns:a16="http://schemas.microsoft.com/office/drawing/2014/main" id="{04302E65-5024-478A-A35B-198A967F9400}"/>
                  </a:ext>
                </a:extLst>
              </xdr:cNvPr>
              <xdr:cNvCxnSpPr/>
            </xdr:nvCxnSpPr>
            <xdr:spPr>
              <a:xfrm>
                <a:off x="12624408" y="13720157"/>
                <a:ext cx="302378" cy="1285"/>
              </a:xfrm>
              <a:prstGeom prst="line">
                <a:avLst/>
              </a:prstGeom>
              <a:solidFill>
                <a:srgbClr val="CC9900"/>
              </a:solidFill>
              <a:ln w="28575" cap="rnd">
                <a:solidFill>
                  <a:srgbClr val="FFC000"/>
                </a:solidFill>
              </a:ln>
            </xdr:spPr>
            <xdr:style>
              <a:lnRef idx="1">
                <a:schemeClr val="accent1"/>
              </a:lnRef>
              <a:fillRef idx="0">
                <a:schemeClr val="accent1"/>
              </a:fillRef>
              <a:effectRef idx="0">
                <a:schemeClr val="accent1"/>
              </a:effectRef>
              <a:fontRef idx="minor">
                <a:schemeClr val="tx1"/>
              </a:fontRef>
            </xdr:style>
          </xdr:cxnSp>
          <xdr:sp macro="" textlink="">
            <xdr:nvSpPr>
              <xdr:cNvPr id="129" name="Ellipse 128">
                <a:extLst>
                  <a:ext uri="{FF2B5EF4-FFF2-40B4-BE49-F238E27FC236}">
                    <a16:creationId xmlns:a16="http://schemas.microsoft.com/office/drawing/2014/main" id="{C398D450-2FD0-4CA4-933F-7C7ADFE528A8}"/>
                  </a:ext>
                </a:extLst>
              </xdr:cNvPr>
              <xdr:cNvSpPr/>
            </xdr:nvSpPr>
            <xdr:spPr>
              <a:xfrm>
                <a:off x="12731564" y="13678293"/>
                <a:ext cx="95250" cy="94615"/>
              </a:xfrm>
              <a:prstGeom prst="ellipse">
                <a:avLst/>
              </a:prstGeom>
              <a:solidFill>
                <a:srgbClr val="FFC000"/>
              </a:solid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130" name="Rectangle 129">
              <a:extLst>
                <a:ext uri="{FF2B5EF4-FFF2-40B4-BE49-F238E27FC236}">
                  <a16:creationId xmlns:a16="http://schemas.microsoft.com/office/drawing/2014/main" id="{7DBC5267-4071-4D9A-B1CB-6A0312460B43}"/>
                </a:ext>
              </a:extLst>
            </xdr:cNvPr>
            <xdr:cNvSpPr/>
          </xdr:nvSpPr>
          <xdr:spPr>
            <a:xfrm>
              <a:off x="12320675" y="12911139"/>
              <a:ext cx="110109" cy="109375"/>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aphicFrame macro="">
        <xdr:nvGraphicFramePr>
          <xdr:cNvPr id="134" name="Graphique 133">
            <a:extLst>
              <a:ext uri="{FF2B5EF4-FFF2-40B4-BE49-F238E27FC236}">
                <a16:creationId xmlns:a16="http://schemas.microsoft.com/office/drawing/2014/main" id="{09F9841F-5C1C-4138-80AE-C48306E49894}"/>
              </a:ext>
            </a:extLst>
          </xdr:cNvPr>
          <xdr:cNvGraphicFramePr>
            <a:graphicFrameLocks/>
          </xdr:cNvGraphicFramePr>
        </xdr:nvGraphicFramePr>
        <xdr:xfrm>
          <a:off x="9293879" y="7596187"/>
          <a:ext cx="3001774" cy="4128414"/>
        </xdr:xfrm>
        <a:graphic>
          <a:graphicData uri="http://schemas.openxmlformats.org/drawingml/2006/chart">
            <c:chart xmlns:c="http://schemas.openxmlformats.org/drawingml/2006/chart" xmlns:r="http://schemas.openxmlformats.org/officeDocument/2006/relationships" r:id="rId7"/>
          </a:graphicData>
        </a:graphic>
      </xdr:graphicFrame>
      <xdr:grpSp>
        <xdr:nvGrpSpPr>
          <xdr:cNvPr id="148" name="Groupe 147">
            <a:extLst>
              <a:ext uri="{FF2B5EF4-FFF2-40B4-BE49-F238E27FC236}">
                <a16:creationId xmlns:a16="http://schemas.microsoft.com/office/drawing/2014/main" id="{EB86F640-689C-4B38-AEEE-E73F2D7F796B}"/>
              </a:ext>
            </a:extLst>
          </xdr:cNvPr>
          <xdr:cNvGrpSpPr/>
        </xdr:nvGrpSpPr>
        <xdr:grpSpPr>
          <a:xfrm>
            <a:off x="14978280" y="11758018"/>
            <a:ext cx="1861568" cy="676603"/>
            <a:chOff x="12320828" y="13013120"/>
            <a:chExt cx="1861568" cy="676603"/>
          </a:xfrm>
        </xdr:grpSpPr>
        <xdr:grpSp>
          <xdr:nvGrpSpPr>
            <xdr:cNvPr id="104" name="Groupe 103">
              <a:extLst>
                <a:ext uri="{FF2B5EF4-FFF2-40B4-BE49-F238E27FC236}">
                  <a16:creationId xmlns:a16="http://schemas.microsoft.com/office/drawing/2014/main" id="{AB08F3E3-72E4-47EB-B3B5-1B3C711E206A}"/>
                </a:ext>
              </a:extLst>
            </xdr:cNvPr>
            <xdr:cNvGrpSpPr/>
          </xdr:nvGrpSpPr>
          <xdr:grpSpPr>
            <a:xfrm>
              <a:off x="12468261" y="13112744"/>
              <a:ext cx="206335" cy="65587"/>
              <a:chOff x="28515469" y="7250906"/>
              <a:chExt cx="297656" cy="95250"/>
            </a:xfrm>
            <a:solidFill>
              <a:srgbClr val="CC9900"/>
            </a:solidFill>
          </xdr:grpSpPr>
          <xdr:cxnSp macro="">
            <xdr:nvCxnSpPr>
              <xdr:cNvPr id="112" name="Connecteur droit 111">
                <a:extLst>
                  <a:ext uri="{FF2B5EF4-FFF2-40B4-BE49-F238E27FC236}">
                    <a16:creationId xmlns:a16="http://schemas.microsoft.com/office/drawing/2014/main" id="{D0029744-A554-4AF7-81F5-CEAADBC8331C}"/>
                  </a:ext>
                </a:extLst>
              </xdr:cNvPr>
              <xdr:cNvCxnSpPr/>
            </xdr:nvCxnSpPr>
            <xdr:spPr>
              <a:xfrm>
                <a:off x="28515469" y="7298531"/>
                <a:ext cx="297656" cy="0"/>
              </a:xfrm>
              <a:prstGeom prst="line">
                <a:avLst/>
              </a:prstGeom>
              <a:grpFill/>
              <a:ln w="28575" cap="rnd">
                <a:solidFill>
                  <a:srgbClr val="CC9900"/>
                </a:solidFill>
              </a:ln>
            </xdr:spPr>
            <xdr:style>
              <a:lnRef idx="1">
                <a:schemeClr val="accent1"/>
              </a:lnRef>
              <a:fillRef idx="0">
                <a:schemeClr val="accent1"/>
              </a:fillRef>
              <a:effectRef idx="0">
                <a:schemeClr val="accent1"/>
              </a:effectRef>
              <a:fontRef idx="minor">
                <a:schemeClr val="tx1"/>
              </a:fontRef>
            </xdr:style>
          </xdr:cxnSp>
          <xdr:sp macro="" textlink="">
            <xdr:nvSpPr>
              <xdr:cNvPr id="113" name="Ellipse 112">
                <a:extLst>
                  <a:ext uri="{FF2B5EF4-FFF2-40B4-BE49-F238E27FC236}">
                    <a16:creationId xmlns:a16="http://schemas.microsoft.com/office/drawing/2014/main" id="{5EF0771C-2DCD-45F6-A98F-17E6C07D375C}"/>
                  </a:ext>
                </a:extLst>
              </xdr:cNvPr>
              <xdr:cNvSpPr/>
            </xdr:nvSpPr>
            <xdr:spPr>
              <a:xfrm>
                <a:off x="28622625" y="7250906"/>
                <a:ext cx="95250" cy="95250"/>
              </a:xfrm>
              <a:prstGeom prst="ellipse">
                <a:avLst/>
              </a:prstGeom>
              <a:grpFill/>
              <a:ln w="28575">
                <a:solidFill>
                  <a:srgbClr val="CC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106" name="Rectangle 105">
              <a:extLst>
                <a:ext uri="{FF2B5EF4-FFF2-40B4-BE49-F238E27FC236}">
                  <a16:creationId xmlns:a16="http://schemas.microsoft.com/office/drawing/2014/main" id="{F4ECBBF9-0F52-403A-9525-665F0A9E7010}"/>
                </a:ext>
              </a:extLst>
            </xdr:cNvPr>
            <xdr:cNvSpPr/>
          </xdr:nvSpPr>
          <xdr:spPr>
            <a:xfrm>
              <a:off x="12321058" y="13087699"/>
              <a:ext cx="110109" cy="109375"/>
            </a:xfrm>
            <a:prstGeom prst="rect">
              <a:avLst/>
            </a:prstGeom>
            <a:solidFill>
              <a:srgbClr val="CC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78" name="Groupe 77">
              <a:extLst>
                <a:ext uri="{FF2B5EF4-FFF2-40B4-BE49-F238E27FC236}">
                  <a16:creationId xmlns:a16="http://schemas.microsoft.com/office/drawing/2014/main" id="{0C6A15C1-8C23-45AA-8479-DE29342047C2}"/>
                </a:ext>
              </a:extLst>
            </xdr:cNvPr>
            <xdr:cNvGrpSpPr/>
          </xdr:nvGrpSpPr>
          <xdr:grpSpPr>
            <a:xfrm>
              <a:off x="12476202" y="13498477"/>
              <a:ext cx="206335" cy="65587"/>
              <a:chOff x="28515469" y="7250906"/>
              <a:chExt cx="297656" cy="95250"/>
            </a:xfrm>
            <a:solidFill>
              <a:srgbClr val="7030A0"/>
            </a:solidFill>
          </xdr:grpSpPr>
          <xdr:cxnSp macro="">
            <xdr:nvCxnSpPr>
              <xdr:cNvPr id="89" name="Connecteur droit 88">
                <a:extLst>
                  <a:ext uri="{FF2B5EF4-FFF2-40B4-BE49-F238E27FC236}">
                    <a16:creationId xmlns:a16="http://schemas.microsoft.com/office/drawing/2014/main" id="{41422432-609F-41CC-999E-61CF0618825C}"/>
                  </a:ext>
                </a:extLst>
              </xdr:cNvPr>
              <xdr:cNvCxnSpPr/>
            </xdr:nvCxnSpPr>
            <xdr:spPr>
              <a:xfrm>
                <a:off x="28515469" y="7298531"/>
                <a:ext cx="297656" cy="0"/>
              </a:xfrm>
              <a:prstGeom prst="line">
                <a:avLst/>
              </a:prstGeom>
              <a:grpFill/>
              <a:ln w="28575" cap="rnd">
                <a:solidFill>
                  <a:srgbClr val="7030A0"/>
                </a:solidFill>
              </a:ln>
            </xdr:spPr>
            <xdr:style>
              <a:lnRef idx="1">
                <a:schemeClr val="accent1"/>
              </a:lnRef>
              <a:fillRef idx="0">
                <a:schemeClr val="accent1"/>
              </a:fillRef>
              <a:effectRef idx="0">
                <a:schemeClr val="accent1"/>
              </a:effectRef>
              <a:fontRef idx="minor">
                <a:schemeClr val="tx1"/>
              </a:fontRef>
            </xdr:style>
          </xdr:cxnSp>
          <xdr:sp macro="" textlink="">
            <xdr:nvSpPr>
              <xdr:cNvPr id="90" name="Ellipse 89">
                <a:extLst>
                  <a:ext uri="{FF2B5EF4-FFF2-40B4-BE49-F238E27FC236}">
                    <a16:creationId xmlns:a16="http://schemas.microsoft.com/office/drawing/2014/main" id="{CD6FCE4E-7369-4940-8D45-FBB009A1BB14}"/>
                  </a:ext>
                </a:extLst>
              </xdr:cNvPr>
              <xdr:cNvSpPr/>
            </xdr:nvSpPr>
            <xdr:spPr>
              <a:xfrm>
                <a:off x="28622625" y="7250906"/>
                <a:ext cx="95250" cy="95250"/>
              </a:xfrm>
              <a:prstGeom prst="ellipse">
                <a:avLst/>
              </a:prstGeom>
              <a:grp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79" name="Rectangle 78">
              <a:extLst>
                <a:ext uri="{FF2B5EF4-FFF2-40B4-BE49-F238E27FC236}">
                  <a16:creationId xmlns:a16="http://schemas.microsoft.com/office/drawing/2014/main" id="{D346500C-3335-4E7C-90E9-1DCED1FE4673}"/>
                </a:ext>
              </a:extLst>
            </xdr:cNvPr>
            <xdr:cNvSpPr/>
          </xdr:nvSpPr>
          <xdr:spPr>
            <a:xfrm>
              <a:off x="12326278" y="13468403"/>
              <a:ext cx="110109" cy="109375"/>
            </a:xfrm>
            <a:prstGeom prst="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143" name="Groupe 142">
              <a:extLst>
                <a:ext uri="{FF2B5EF4-FFF2-40B4-BE49-F238E27FC236}">
                  <a16:creationId xmlns:a16="http://schemas.microsoft.com/office/drawing/2014/main" id="{FBB47F61-164F-41F5-84DC-22B3B026FB1C}"/>
                </a:ext>
              </a:extLst>
            </xdr:cNvPr>
            <xdr:cNvGrpSpPr/>
          </xdr:nvGrpSpPr>
          <xdr:grpSpPr>
            <a:xfrm>
              <a:off x="12470284" y="13296867"/>
              <a:ext cx="208722" cy="65587"/>
              <a:chOff x="12620244" y="13907596"/>
              <a:chExt cx="301099" cy="94615"/>
            </a:xfrm>
          </xdr:grpSpPr>
          <xdr:cxnSp macro="">
            <xdr:nvCxnSpPr>
              <xdr:cNvPr id="131" name="Connecteur droit 130">
                <a:extLst>
                  <a:ext uri="{FF2B5EF4-FFF2-40B4-BE49-F238E27FC236}">
                    <a16:creationId xmlns:a16="http://schemas.microsoft.com/office/drawing/2014/main" id="{207F5773-485E-4EAE-8C96-4DB4E77FC161}"/>
                  </a:ext>
                </a:extLst>
              </xdr:cNvPr>
              <xdr:cNvCxnSpPr/>
            </xdr:nvCxnSpPr>
            <xdr:spPr>
              <a:xfrm>
                <a:off x="12620244" y="13960345"/>
                <a:ext cx="301099" cy="6026"/>
              </a:xfrm>
              <a:prstGeom prst="line">
                <a:avLst/>
              </a:prstGeom>
              <a:solidFill>
                <a:srgbClr val="CC9900"/>
              </a:solidFill>
              <a:ln w="28575" cap="rnd">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32" name="Ellipse 131">
                <a:extLst>
                  <a:ext uri="{FF2B5EF4-FFF2-40B4-BE49-F238E27FC236}">
                    <a16:creationId xmlns:a16="http://schemas.microsoft.com/office/drawing/2014/main" id="{E13A8D5A-5616-4044-B77F-85FFFEB1A2A8}"/>
                  </a:ext>
                </a:extLst>
              </xdr:cNvPr>
              <xdr:cNvSpPr/>
            </xdr:nvSpPr>
            <xdr:spPr>
              <a:xfrm>
                <a:off x="12709857" y="13907596"/>
                <a:ext cx="95249" cy="94615"/>
              </a:xfrm>
              <a:prstGeom prst="ellipse">
                <a:avLst/>
              </a:prstGeom>
              <a:solidFill>
                <a:schemeClr val="accent6">
                  <a:lumMod val="50000"/>
                </a:schemeClr>
              </a:solidFill>
              <a:ln w="28575">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133" name="Rectangle 132">
              <a:extLst>
                <a:ext uri="{FF2B5EF4-FFF2-40B4-BE49-F238E27FC236}">
                  <a16:creationId xmlns:a16="http://schemas.microsoft.com/office/drawing/2014/main" id="{F5196830-8439-4C0F-A319-CD07EF2FAFDC}"/>
                </a:ext>
              </a:extLst>
            </xdr:cNvPr>
            <xdr:cNvSpPr/>
          </xdr:nvSpPr>
          <xdr:spPr>
            <a:xfrm>
              <a:off x="12320828" y="13271822"/>
              <a:ext cx="110109" cy="109375"/>
            </a:xfrm>
            <a:prstGeom prst="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4" name="ZoneTexte 143">
              <a:extLst>
                <a:ext uri="{FF2B5EF4-FFF2-40B4-BE49-F238E27FC236}">
                  <a16:creationId xmlns:a16="http://schemas.microsoft.com/office/drawing/2014/main" id="{7D85CBAE-156B-417E-A997-4251E24EE3F7}"/>
                </a:ext>
              </a:extLst>
            </xdr:cNvPr>
            <xdr:cNvSpPr txBox="1"/>
          </xdr:nvSpPr>
          <xdr:spPr>
            <a:xfrm>
              <a:off x="12632120" y="13013120"/>
              <a:ext cx="1550276" cy="676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fr-FR" sz="1200">
                  <a:solidFill>
                    <a:schemeClr val="dk1"/>
                  </a:solidFill>
                  <a:latin typeface="+mn-lt"/>
                  <a:ea typeface="+mn-ea"/>
                  <a:cs typeface="+mn-cs"/>
                </a:rPr>
                <a:t>Séchage</a:t>
              </a:r>
            </a:p>
            <a:p>
              <a:pPr marL="0" indent="0"/>
              <a:r>
                <a:rPr lang="fr-FR" sz="1200">
                  <a:solidFill>
                    <a:schemeClr val="dk1"/>
                  </a:solidFill>
                  <a:latin typeface="+mn-lt"/>
                  <a:ea typeface="+mn-ea"/>
                  <a:cs typeface="+mn-cs"/>
                </a:rPr>
                <a:t>Stockage (énergie)</a:t>
              </a:r>
            </a:p>
            <a:p>
              <a:pPr marL="0" indent="0"/>
              <a:r>
                <a:rPr lang="fr-FR" sz="1200">
                  <a:solidFill>
                    <a:schemeClr val="dk1"/>
                  </a:solidFill>
                  <a:latin typeface="+mn-lt"/>
                  <a:ea typeface="+mn-ea"/>
                  <a:cs typeface="+mn-cs"/>
                </a:rPr>
                <a:t>Carburant</a:t>
              </a:r>
            </a:p>
            <a:p>
              <a:pPr marL="0" indent="0"/>
              <a:endParaRPr lang="fr-FR" sz="1200">
                <a:solidFill>
                  <a:schemeClr val="dk1"/>
                </a:solidFill>
                <a:latin typeface="+mn-lt"/>
                <a:ea typeface="+mn-ea"/>
                <a:cs typeface="+mn-cs"/>
              </a:endParaRPr>
            </a:p>
          </xdr:txBody>
        </xdr:sp>
      </xdr:grpSp>
    </xdr:grpSp>
    <xdr:clientData/>
  </xdr:twoCellAnchor>
  <xdr:twoCellAnchor editAs="oneCell">
    <xdr:from>
      <xdr:col>12</xdr:col>
      <xdr:colOff>111597</xdr:colOff>
      <xdr:row>0</xdr:row>
      <xdr:rowOff>121226</xdr:rowOff>
    </xdr:from>
    <xdr:to>
      <xdr:col>40</xdr:col>
      <xdr:colOff>121225</xdr:colOff>
      <xdr:row>9</xdr:row>
      <xdr:rowOff>123265</xdr:rowOff>
    </xdr:to>
    <xdr:sp macro="" textlink="">
      <xdr:nvSpPr>
        <xdr:cNvPr id="135" name="ZoneTexte 134">
          <a:extLst>
            <a:ext uri="{FF2B5EF4-FFF2-40B4-BE49-F238E27FC236}">
              <a16:creationId xmlns:a16="http://schemas.microsoft.com/office/drawing/2014/main" id="{62EE195B-F175-4AA9-9186-C1D3CE0A5200}"/>
            </a:ext>
          </a:extLst>
        </xdr:cNvPr>
        <xdr:cNvSpPr txBox="1"/>
      </xdr:nvSpPr>
      <xdr:spPr>
        <a:xfrm>
          <a:off x="5535244" y="121226"/>
          <a:ext cx="9512214" cy="1817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600" b="1"/>
            <a:t>ImpactCoutProduction</a:t>
          </a:r>
        </a:p>
        <a:p>
          <a:pPr algn="ctr"/>
          <a:endParaRPr lang="fr-FR" sz="1600" b="1"/>
        </a:p>
        <a:p>
          <a:pPr algn="ctr"/>
          <a:r>
            <a:rPr lang="fr-FR" sz="2600" b="1"/>
            <a:t>Pour vous situer, estimez rapidement les variations de vos charges en fonction de l'évolution du prix des intrants, de l'énergie…</a:t>
          </a:r>
        </a:p>
      </xdr:txBody>
    </xdr:sp>
    <xdr:clientData/>
  </xdr:twoCellAnchor>
  <xdr:twoCellAnchor editAs="oneCell">
    <xdr:from>
      <xdr:col>42</xdr:col>
      <xdr:colOff>177506</xdr:colOff>
      <xdr:row>0</xdr:row>
      <xdr:rowOff>155864</xdr:rowOff>
    </xdr:from>
    <xdr:to>
      <xdr:col>64</xdr:col>
      <xdr:colOff>183049</xdr:colOff>
      <xdr:row>9</xdr:row>
      <xdr:rowOff>17318</xdr:rowOff>
    </xdr:to>
    <xdr:sp macro="" textlink="">
      <xdr:nvSpPr>
        <xdr:cNvPr id="151" name="ZoneTexte 150">
          <a:extLst>
            <a:ext uri="{FF2B5EF4-FFF2-40B4-BE49-F238E27FC236}">
              <a16:creationId xmlns:a16="http://schemas.microsoft.com/office/drawing/2014/main" id="{25A9BBB7-D6F2-460A-8C27-480A05419AE7}"/>
            </a:ext>
          </a:extLst>
        </xdr:cNvPr>
        <xdr:cNvSpPr txBox="1"/>
      </xdr:nvSpPr>
      <xdr:spPr>
        <a:xfrm>
          <a:off x="15655631" y="155864"/>
          <a:ext cx="6292044" cy="1575954"/>
        </a:xfrm>
        <a:prstGeom prst="rect">
          <a:avLst/>
        </a:prstGeom>
        <a:solidFill>
          <a:schemeClr val="lt1"/>
        </a:solidFill>
        <a:ln w="63500" cmpd="thickThin">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i="1">
              <a:solidFill>
                <a:schemeClr val="dk1"/>
              </a:solidFill>
              <a:effectLst/>
              <a:latin typeface="+mn-lt"/>
              <a:ea typeface="+mn-ea"/>
              <a:cs typeface="+mn-cs"/>
            </a:rPr>
            <a:t>ARVALIS - Institut du végétal décline toute responsabilité :</a:t>
          </a:r>
        </a:p>
        <a:p>
          <a:r>
            <a:rPr lang="fr-FR" sz="900" b="1" i="1">
              <a:solidFill>
                <a:schemeClr val="dk1"/>
              </a:solidFill>
              <a:effectLst/>
              <a:latin typeface="+mn-lt"/>
              <a:ea typeface="+mn-ea"/>
              <a:cs typeface="+mn-cs"/>
            </a:rPr>
            <a:t>- pour toute imprécision, inexactitude ou omission portant sur des informations disponibles. </a:t>
          </a:r>
        </a:p>
        <a:p>
          <a:r>
            <a:rPr lang="fr-FR" sz="900" b="1" i="1">
              <a:solidFill>
                <a:schemeClr val="dk1"/>
              </a:solidFill>
              <a:effectLst/>
              <a:latin typeface="+mn-lt"/>
              <a:ea typeface="+mn-ea"/>
              <a:cs typeface="+mn-cs"/>
            </a:rPr>
            <a:t> - pour tout résultat qui pourrait être obtenu par l'usage des informations disponibles.</a:t>
          </a:r>
        </a:p>
        <a:p>
          <a:r>
            <a:rPr lang="fr-FR" sz="900" b="1" i="1">
              <a:solidFill>
                <a:schemeClr val="dk1"/>
              </a:solidFill>
              <a:effectLst/>
              <a:latin typeface="+mn-lt"/>
              <a:ea typeface="+mn-ea"/>
              <a:cs typeface="+mn-cs"/>
            </a:rPr>
            <a:t>- pour tous dommages résultant d'une intrusion frauduleuse d'un tiers, ayant entraîné une modification des informations ou éléments mis à disposition.</a:t>
          </a:r>
        </a:p>
        <a:p>
          <a:r>
            <a:rPr lang="fr-FR" sz="900" b="1" i="1">
              <a:solidFill>
                <a:schemeClr val="dk1"/>
              </a:solidFill>
              <a:effectLst/>
              <a:latin typeface="+mn-lt"/>
              <a:ea typeface="+mn-ea"/>
              <a:cs typeface="+mn-cs"/>
            </a:rPr>
            <a:t>- et plus généralement pour tous dommages, directs ou indirects, quelles qu'en soient les causes, origines, natures ou conséquences, quand bien même ARVALIS - Institut du végétal aurait été avisée de la possibilité de tels dommages, provoqués à raison (i) de l'accès de quiconque aux informations ou de l'impossibilité d'y accéder, (ii) de l'utilisation des informations, incluant toutes détériorations ou virus qui pourraient infecter votre équipement informatique ou tout autre bien, et/ou (iii) du crédit accordé à une quelconque information provenant directement ou indirectement de l’outil</a:t>
          </a:r>
          <a:r>
            <a:rPr lang="fr-FR" sz="900" b="1" i="1" baseline="0">
              <a:solidFill>
                <a:schemeClr val="dk1"/>
              </a:solidFill>
              <a:effectLst/>
              <a:latin typeface="+mn-lt"/>
              <a:ea typeface="+mn-ea"/>
              <a:cs typeface="+mn-cs"/>
            </a:rPr>
            <a:t> "</a:t>
          </a:r>
          <a:r>
            <a:rPr lang="fr-FR" sz="900" b="1" i="1" u="sng">
              <a:solidFill>
                <a:sysClr val="windowText" lastClr="000000"/>
              </a:solidFill>
              <a:effectLst/>
              <a:latin typeface="+mn-lt"/>
              <a:ea typeface="+mn-ea"/>
              <a:cs typeface="+mn-cs"/>
            </a:rPr>
            <a:t>ImpactCoutProduction</a:t>
          </a:r>
          <a:r>
            <a:rPr lang="fr-FR" sz="900" b="1" i="1" u="none">
              <a:solidFill>
                <a:schemeClr val="dk1"/>
              </a:solidFill>
              <a:effectLst/>
              <a:latin typeface="+mn-lt"/>
              <a:ea typeface="+mn-ea"/>
              <a:cs typeface="+mn-cs"/>
            </a:rPr>
            <a:t>"</a:t>
          </a:r>
          <a:r>
            <a:rPr lang="fr-FR" sz="900" b="1" i="1">
              <a:solidFill>
                <a:schemeClr val="dk1"/>
              </a:solidFill>
              <a:effectLst/>
              <a:latin typeface="+mn-lt"/>
              <a:ea typeface="+mn-ea"/>
              <a:cs typeface="+mn-cs"/>
            </a:rPr>
            <a:t>.</a:t>
          </a:r>
        </a:p>
        <a:p>
          <a:r>
            <a:rPr lang="fr-FR" sz="1000" b="1" i="1">
              <a:solidFill>
                <a:schemeClr val="dk1"/>
              </a:solidFill>
              <a:effectLst/>
              <a:latin typeface="+mn-lt"/>
              <a:ea typeface="+mn-ea"/>
              <a:cs typeface="+mn-cs"/>
            </a:rPr>
            <a:t>Pour toute question, veuillez vous référer à l'onglet 'PRISE EN MAIN'</a:t>
          </a:r>
        </a:p>
        <a:p>
          <a:r>
            <a:rPr lang="fr-FR" sz="900" i="1">
              <a:solidFill>
                <a:schemeClr val="dk1"/>
              </a:solidFill>
              <a:effectLst/>
              <a:latin typeface="+mn-lt"/>
              <a:ea typeface="+mn-ea"/>
              <a:cs typeface="+mn-cs"/>
            </a:rPr>
            <a:t> </a:t>
          </a:r>
        </a:p>
        <a:p>
          <a:endParaRPr lang="fr-FR" sz="900" i="1"/>
        </a:p>
      </xdr:txBody>
    </xdr:sp>
    <xdr:clientData/>
  </xdr:twoCellAnchor>
  <xdr:oneCellAnchor>
    <xdr:from>
      <xdr:col>2</xdr:col>
      <xdr:colOff>112060</xdr:colOff>
      <xdr:row>56</xdr:row>
      <xdr:rowOff>179290</xdr:rowOff>
    </xdr:from>
    <xdr:ext cx="8079440" cy="651982"/>
    <xdr:sp macro="" textlink="">
      <xdr:nvSpPr>
        <xdr:cNvPr id="152" name="ZoneTexte 151">
          <a:extLst>
            <a:ext uri="{FF2B5EF4-FFF2-40B4-BE49-F238E27FC236}">
              <a16:creationId xmlns:a16="http://schemas.microsoft.com/office/drawing/2014/main" id="{A9CC17EC-3105-4E1C-BEE7-4C979E00503E}"/>
            </a:ext>
          </a:extLst>
        </xdr:cNvPr>
        <xdr:cNvSpPr txBox="1"/>
      </xdr:nvSpPr>
      <xdr:spPr>
        <a:xfrm>
          <a:off x="267924" y="11297563"/>
          <a:ext cx="8079440" cy="651982"/>
        </a:xfrm>
        <a:prstGeom prst="rect">
          <a:avLst/>
        </a:prstGeom>
        <a:solidFill>
          <a:sysClr val="window" lastClr="FFFFFF"/>
        </a:solidFill>
        <a:ln w="63500" cmpd="thickThi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oAutofit/>
        </a:bodyPr>
        <a:lstStyle/>
        <a:p>
          <a:pPr marL="0" indent="0" algn="ctr">
            <a:buFont typeface="Arial" panose="020B0604020202020204" pitchFamily="34" charset="0"/>
            <a:buNone/>
          </a:pPr>
          <a:r>
            <a:rPr lang="fr-FR" sz="1600">
              <a:solidFill>
                <a:srgbClr val="FF0000"/>
              </a:solidFill>
              <a:effectLst/>
              <a:latin typeface="+mn-lt"/>
              <a:ea typeface="+mn-ea"/>
              <a:cs typeface="+mn-cs"/>
            </a:rPr>
            <a:t>POUR SAUVEGARDER et IMPRIMER, vous devez utiliser les fonctions habituelles d'EXCEL, tableurs OpenOffice et LibreOffice </a:t>
          </a:r>
        </a:p>
      </xdr:txBody>
    </xdr:sp>
    <xdr:clientData fPrintsWithSheet="0"/>
  </xdr:oneCellAnchor>
  <xdr:twoCellAnchor editAs="oneCell">
    <xdr:from>
      <xdr:col>2</xdr:col>
      <xdr:colOff>123266</xdr:colOff>
      <xdr:row>52</xdr:row>
      <xdr:rowOff>44819</xdr:rowOff>
    </xdr:from>
    <xdr:to>
      <xdr:col>17</xdr:col>
      <xdr:colOff>502229</xdr:colOff>
      <xdr:row>56</xdr:row>
      <xdr:rowOff>47275</xdr:rowOff>
    </xdr:to>
    <xdr:sp macro="" textlink="">
      <xdr:nvSpPr>
        <xdr:cNvPr id="153" name="ZoneTexte 152">
          <a:extLst>
            <a:ext uri="{FF2B5EF4-FFF2-40B4-BE49-F238E27FC236}">
              <a16:creationId xmlns:a16="http://schemas.microsoft.com/office/drawing/2014/main" id="{E7BED334-5899-4501-9833-F94BE2EBC6E1}"/>
            </a:ext>
          </a:extLst>
        </xdr:cNvPr>
        <xdr:cNvSpPr txBox="1"/>
      </xdr:nvSpPr>
      <xdr:spPr>
        <a:xfrm>
          <a:off x="279130" y="10401092"/>
          <a:ext cx="8068234" cy="764456"/>
        </a:xfrm>
        <a:prstGeom prst="rect">
          <a:avLst/>
        </a:prstGeom>
        <a:solidFill>
          <a:sysClr val="window" lastClr="FFFFFF"/>
        </a:solidFill>
        <a:ln w="63500" cmpd="thickThin">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72000" rIns="72000" bIns="72000" rtlCol="0" anchor="ctr">
          <a:noAutofit/>
        </a:bodyPr>
        <a:lstStyle/>
        <a:p>
          <a:pPr marL="0" indent="0" algn="ctr">
            <a:buFont typeface="Arial" panose="020B0604020202020204" pitchFamily="34" charset="0"/>
            <a:buNone/>
          </a:pPr>
          <a:r>
            <a:rPr lang="fr-FR" sz="1600" b="0">
              <a:solidFill>
                <a:schemeClr val="tx1"/>
              </a:solidFill>
              <a:effectLst/>
              <a:latin typeface="+mn-lt"/>
              <a:ea typeface="+mn-ea"/>
              <a:cs typeface="+mn-cs"/>
            </a:rPr>
            <a:t>Pour une version plus simple et</a:t>
          </a:r>
          <a:r>
            <a:rPr lang="fr-FR" sz="1600" b="0" baseline="0">
              <a:solidFill>
                <a:schemeClr val="tx1"/>
              </a:solidFill>
              <a:effectLst/>
              <a:latin typeface="+mn-lt"/>
              <a:ea typeface="+mn-ea"/>
              <a:cs typeface="+mn-cs"/>
            </a:rPr>
            <a:t> mesurer uniquement l'impact sur les charges et la marge brute, vous pouvez télécharger ImpactCharges : http://oad.arvalis-infos.fr/impactcharges/</a:t>
          </a:r>
          <a:endParaRPr lang="fr-FR" sz="1600" b="0">
            <a:solidFill>
              <a:schemeClr val="tx1"/>
            </a:solidFill>
            <a:effectLst/>
            <a:latin typeface="+mn-lt"/>
            <a:ea typeface="+mn-ea"/>
            <a:cs typeface="+mn-cs"/>
          </a:endParaRPr>
        </a:p>
      </xdr:txBody>
    </xdr:sp>
    <xdr:clientData fPrintsWithSheet="0"/>
  </xdr:twoCellAnchor>
  <xdr:twoCellAnchor>
    <xdr:from>
      <xdr:col>3</xdr:col>
      <xdr:colOff>47625</xdr:colOff>
      <xdr:row>0</xdr:row>
      <xdr:rowOff>142875</xdr:rowOff>
    </xdr:from>
    <xdr:to>
      <xdr:col>15</xdr:col>
      <xdr:colOff>177594</xdr:colOff>
      <xdr:row>4</xdr:row>
      <xdr:rowOff>104633</xdr:rowOff>
    </xdr:to>
    <xdr:grpSp>
      <xdr:nvGrpSpPr>
        <xdr:cNvPr id="14" name="Groupe 13">
          <a:extLst>
            <a:ext uri="{FF2B5EF4-FFF2-40B4-BE49-F238E27FC236}">
              <a16:creationId xmlns:a16="http://schemas.microsoft.com/office/drawing/2014/main" id="{DFA560F8-FCB3-42AC-8E7E-FB6501C997E1}"/>
            </a:ext>
          </a:extLst>
        </xdr:cNvPr>
        <xdr:cNvGrpSpPr/>
      </xdr:nvGrpSpPr>
      <xdr:grpSpPr>
        <a:xfrm>
          <a:off x="904875" y="142875"/>
          <a:ext cx="6130719" cy="761858"/>
          <a:chOff x="428625" y="67353"/>
          <a:chExt cx="6130719" cy="761858"/>
        </a:xfrm>
      </xdr:grpSpPr>
      <xdr:grpSp>
        <xdr:nvGrpSpPr>
          <xdr:cNvPr id="15" name="Groupe 14">
            <a:extLst>
              <a:ext uri="{FF2B5EF4-FFF2-40B4-BE49-F238E27FC236}">
                <a16:creationId xmlns:a16="http://schemas.microsoft.com/office/drawing/2014/main" id="{A6361E6D-45F5-878D-35C3-7C8758F5E56A}"/>
              </a:ext>
            </a:extLst>
          </xdr:cNvPr>
          <xdr:cNvGrpSpPr/>
        </xdr:nvGrpSpPr>
        <xdr:grpSpPr>
          <a:xfrm>
            <a:off x="2678201" y="67353"/>
            <a:ext cx="3881143" cy="761858"/>
            <a:chOff x="1726825" y="67929"/>
            <a:chExt cx="3883670" cy="768372"/>
          </a:xfrm>
        </xdr:grpSpPr>
        <xdr:pic>
          <xdr:nvPicPr>
            <xdr:cNvPr id="17" name="Image 16">
              <a:extLst>
                <a:ext uri="{FF2B5EF4-FFF2-40B4-BE49-F238E27FC236}">
                  <a16:creationId xmlns:a16="http://schemas.microsoft.com/office/drawing/2014/main" id="{EB514701-E0AD-045B-05F6-64C6118E29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548869" y="99862"/>
              <a:ext cx="436789" cy="716240"/>
            </a:xfrm>
            <a:prstGeom prst="rect">
              <a:avLst/>
            </a:prstGeom>
          </xdr:spPr>
        </xdr:pic>
        <xdr:grpSp>
          <xdr:nvGrpSpPr>
            <xdr:cNvPr id="18" name="Groupe 17">
              <a:extLst>
                <a:ext uri="{FF2B5EF4-FFF2-40B4-BE49-F238E27FC236}">
                  <a16:creationId xmlns:a16="http://schemas.microsoft.com/office/drawing/2014/main" id="{48E5FA3E-D57A-FCCF-A62B-C92D695628C2}"/>
                </a:ext>
              </a:extLst>
            </xdr:cNvPr>
            <xdr:cNvGrpSpPr/>
          </xdr:nvGrpSpPr>
          <xdr:grpSpPr>
            <a:xfrm>
              <a:off x="1726825" y="67929"/>
              <a:ext cx="3883670" cy="768372"/>
              <a:chOff x="1804092" y="201706"/>
              <a:chExt cx="3870949" cy="773206"/>
            </a:xfrm>
          </xdr:grpSpPr>
          <xdr:pic>
            <xdr:nvPicPr>
              <xdr:cNvPr id="19" name="Image 18">
                <a:extLst>
                  <a:ext uri="{FF2B5EF4-FFF2-40B4-BE49-F238E27FC236}">
                    <a16:creationId xmlns:a16="http://schemas.microsoft.com/office/drawing/2014/main" id="{138D0BDA-749D-8C6E-2159-D2406FE44AEA}"/>
                  </a:ext>
                </a:extLst>
              </xdr:cNvPr>
              <xdr:cNvPicPr>
                <a:picLocks noChangeAspect="1"/>
              </xdr:cNvPicPr>
            </xdr:nvPicPr>
            <xdr:blipFill>
              <a:blip xmlns:r="http://schemas.openxmlformats.org/officeDocument/2006/relationships" r:embed="rId9"/>
              <a:stretch>
                <a:fillRect/>
              </a:stretch>
            </xdr:blipFill>
            <xdr:spPr>
              <a:xfrm>
                <a:off x="3779562" y="201706"/>
                <a:ext cx="749851" cy="773206"/>
              </a:xfrm>
              <a:prstGeom prst="rect">
                <a:avLst/>
              </a:prstGeom>
            </xdr:spPr>
          </xdr:pic>
          <xdr:pic>
            <xdr:nvPicPr>
              <xdr:cNvPr id="20" name="Image 19">
                <a:extLst>
                  <a:ext uri="{FF2B5EF4-FFF2-40B4-BE49-F238E27FC236}">
                    <a16:creationId xmlns:a16="http://schemas.microsoft.com/office/drawing/2014/main" id="{D1293CFB-DC4F-5E00-38AC-48FF57AE38F4}"/>
                  </a:ext>
                </a:extLst>
              </xdr:cNvPr>
              <xdr:cNvPicPr>
                <a:picLocks noChangeAspect="1"/>
              </xdr:cNvPicPr>
            </xdr:nvPicPr>
            <xdr:blipFill>
              <a:blip xmlns:r="http://schemas.openxmlformats.org/officeDocument/2006/relationships" r:embed="rId10"/>
              <a:stretch>
                <a:fillRect/>
              </a:stretch>
            </xdr:blipFill>
            <xdr:spPr>
              <a:xfrm>
                <a:off x="5178994" y="268939"/>
                <a:ext cx="496047" cy="651443"/>
              </a:xfrm>
              <a:prstGeom prst="rect">
                <a:avLst/>
              </a:prstGeom>
            </xdr:spPr>
          </xdr:pic>
          <xdr:sp macro="" textlink="">
            <xdr:nvSpPr>
              <xdr:cNvPr id="21" name="ZoneTexte 20">
                <a:extLst>
                  <a:ext uri="{FF2B5EF4-FFF2-40B4-BE49-F238E27FC236}">
                    <a16:creationId xmlns:a16="http://schemas.microsoft.com/office/drawing/2014/main" id="{D2EBCF7F-B4AD-0C1F-6C13-2388B9DCB621}"/>
                  </a:ext>
                </a:extLst>
              </xdr:cNvPr>
              <xdr:cNvSpPr txBox="1"/>
            </xdr:nvSpPr>
            <xdr:spPr>
              <a:xfrm>
                <a:off x="1804092" y="438150"/>
                <a:ext cx="2072552"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t>Avec la collaboration de</a:t>
                </a:r>
                <a:r>
                  <a:rPr lang="fr-FR" sz="1400" b="1" baseline="0"/>
                  <a:t> :</a:t>
                </a:r>
                <a:endParaRPr lang="fr-FR" sz="1400" b="1"/>
              </a:p>
            </xdr:txBody>
          </xdr:sp>
        </xdr:grpSp>
      </xdr:grpSp>
      <xdr:pic>
        <xdr:nvPicPr>
          <xdr:cNvPr id="16" name="Image 15">
            <a:extLst>
              <a:ext uri="{FF2B5EF4-FFF2-40B4-BE49-F238E27FC236}">
                <a16:creationId xmlns:a16="http://schemas.microsoft.com/office/drawing/2014/main" id="{5E23E075-A44C-5C29-C4F0-7E170870D1B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28625" y="266700"/>
            <a:ext cx="2266950" cy="432892"/>
          </a:xfrm>
          <a:prstGeom prst="rect">
            <a:avLst/>
          </a:prstGeom>
        </xdr:spPr>
      </xdr:pic>
    </xdr:grpSp>
    <xdr:clientData/>
  </xdr:twoCellAnchor>
</xdr:wsDr>
</file>

<file path=xl/drawings/drawing4.xml><?xml version="1.0" encoding="utf-8"?>
<c:userShapes xmlns:c="http://schemas.openxmlformats.org/drawingml/2006/chart">
  <cdr:relSizeAnchor xmlns:cdr="http://schemas.openxmlformats.org/drawingml/2006/chartDrawing">
    <cdr:from>
      <cdr:x>0.1978</cdr:x>
      <cdr:y>0.92102</cdr:y>
    </cdr:from>
    <cdr:to>
      <cdr:x>0.89246</cdr:x>
      <cdr:y>0.99202</cdr:y>
    </cdr:to>
    <cdr:grpSp>
      <cdr:nvGrpSpPr>
        <cdr:cNvPr id="12" name="Groupe 11">
          <a:extLst xmlns:a="http://schemas.openxmlformats.org/drawingml/2006/main">
            <a:ext uri="{FF2B5EF4-FFF2-40B4-BE49-F238E27FC236}">
              <a16:creationId xmlns:a16="http://schemas.microsoft.com/office/drawing/2014/main" id="{9202F95D-86EF-47AA-9BD4-1324DEEF63C7}"/>
            </a:ext>
          </a:extLst>
        </cdr:cNvPr>
        <cdr:cNvGrpSpPr/>
      </cdr:nvGrpSpPr>
      <cdr:grpSpPr>
        <a:xfrm xmlns:a="http://schemas.openxmlformats.org/drawingml/2006/main">
          <a:off x="930939" y="3194611"/>
          <a:ext cx="3269393" cy="246268"/>
          <a:chOff x="3326067" y="765804"/>
          <a:chExt cx="4259913" cy="373318"/>
        </a:xfrm>
      </cdr:grpSpPr>
      <cdr:sp macro="" textlink="">
        <cdr:nvSpPr>
          <cdr:cNvPr id="8" name="Rectangle 7">
            <a:extLst xmlns:a="http://schemas.openxmlformats.org/drawingml/2006/main">
              <a:ext uri="{FF2B5EF4-FFF2-40B4-BE49-F238E27FC236}">
                <a16:creationId xmlns:a16="http://schemas.microsoft.com/office/drawing/2014/main" id="{BA83932F-8A1E-42B8-B155-F437C33111D5}"/>
              </a:ext>
            </a:extLst>
          </cdr:cNvPr>
          <cdr:cNvSpPr/>
        </cdr:nvSpPr>
        <cdr:spPr>
          <a:xfrm xmlns:a="http://schemas.openxmlformats.org/drawingml/2006/main">
            <a:off x="3326067" y="765804"/>
            <a:ext cx="3950700" cy="293246"/>
          </a:xfrm>
          <a:prstGeom xmlns:a="http://schemas.openxmlformats.org/drawingml/2006/main" prst="rect">
            <a:avLst/>
          </a:prstGeom>
          <a:solidFill xmlns:a="http://schemas.openxmlformats.org/drawingml/2006/main">
            <a:schemeClr val="bg1"/>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grpSp>
        <cdr:nvGrpSpPr>
          <cdr:cNvPr id="10" name="Groupe 9">
            <a:extLst xmlns:a="http://schemas.openxmlformats.org/drawingml/2006/main">
              <a:ext uri="{FF2B5EF4-FFF2-40B4-BE49-F238E27FC236}">
                <a16:creationId xmlns:a16="http://schemas.microsoft.com/office/drawing/2014/main" id="{0DFE5D89-92A1-4184-A990-968658C1E1F0}"/>
              </a:ext>
            </a:extLst>
          </cdr:cNvPr>
          <cdr:cNvGrpSpPr/>
        </cdr:nvGrpSpPr>
        <cdr:grpSpPr>
          <a:xfrm xmlns:a="http://schemas.openxmlformats.org/drawingml/2006/main">
            <a:off x="3485977" y="772156"/>
            <a:ext cx="4100003" cy="366966"/>
            <a:chOff x="3484534" y="771028"/>
            <a:chExt cx="4098294" cy="366438"/>
          </a:xfrm>
        </cdr:grpSpPr>
        <cdr:sp macro="" textlink="">
          <cdr:nvSpPr>
            <cdr:cNvPr id="4" name="Rectangle 3">
              <a:extLst xmlns:a="http://schemas.openxmlformats.org/drawingml/2006/main">
                <a:ext uri="{FF2B5EF4-FFF2-40B4-BE49-F238E27FC236}">
                  <a16:creationId xmlns:a16="http://schemas.microsoft.com/office/drawing/2014/main" id="{43F70220-2FE3-4BDA-A916-07A5DAD9F12C}"/>
                </a:ext>
              </a:extLst>
            </cdr:cNvPr>
            <cdr:cNvSpPr/>
          </cdr:nvSpPr>
          <cdr:spPr>
            <a:xfrm xmlns:a="http://schemas.openxmlformats.org/drawingml/2006/main">
              <a:off x="3484534" y="824660"/>
              <a:ext cx="156981" cy="156956"/>
            </a:xfrm>
            <a:prstGeom xmlns:a="http://schemas.openxmlformats.org/drawingml/2006/main" prst="rect">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grpSp>
          <cdr:nvGrpSpPr>
            <cdr:cNvPr id="9" name="Groupe 8">
              <a:extLst xmlns:a="http://schemas.openxmlformats.org/drawingml/2006/main">
                <a:ext uri="{FF2B5EF4-FFF2-40B4-BE49-F238E27FC236}">
                  <a16:creationId xmlns:a16="http://schemas.microsoft.com/office/drawing/2014/main" id="{8004BF36-24B2-45FF-B894-A166B8B8F9B5}"/>
                </a:ext>
              </a:extLst>
            </cdr:cNvPr>
            <cdr:cNvGrpSpPr/>
          </cdr:nvGrpSpPr>
          <cdr:grpSpPr>
            <a:xfrm xmlns:a="http://schemas.openxmlformats.org/drawingml/2006/main">
              <a:off x="3675062" y="771028"/>
              <a:ext cx="3907766" cy="366438"/>
              <a:chOff x="3675058" y="771028"/>
              <a:chExt cx="3907769" cy="366438"/>
            </a:xfrm>
          </cdr:grpSpPr>
          <cdr:sp macro="" textlink="">
            <cdr:nvSpPr>
              <cdr:cNvPr id="7" name="ZoneTexte 6">
                <a:extLst xmlns:a="http://schemas.openxmlformats.org/drawingml/2006/main">
                  <a:ext uri="{FF2B5EF4-FFF2-40B4-BE49-F238E27FC236}">
                    <a16:creationId xmlns:a16="http://schemas.microsoft.com/office/drawing/2014/main" id="{CA620BB2-730E-4B67-B7B0-C4D7EE866A12}"/>
                  </a:ext>
                </a:extLst>
              </cdr:cNvPr>
              <cdr:cNvSpPr txBox="1"/>
            </cdr:nvSpPr>
            <cdr:spPr>
              <a:xfrm xmlns:a="http://schemas.openxmlformats.org/drawingml/2006/main">
                <a:off x="3675058" y="771028"/>
                <a:ext cx="3907769" cy="36643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fr-FR" sz="1200"/>
                  <a:t>Rdt moyen          Rdt min          Rdt max</a:t>
                </a:r>
              </a:p>
            </cdr:txBody>
          </cdr:sp>
          <cdr:sp macro="" textlink="">
            <cdr:nvSpPr>
              <cdr:cNvPr id="5" name="Rectangle 4">
                <a:extLst xmlns:a="http://schemas.openxmlformats.org/drawingml/2006/main">
                  <a:ext uri="{FF2B5EF4-FFF2-40B4-BE49-F238E27FC236}">
                    <a16:creationId xmlns:a16="http://schemas.microsoft.com/office/drawing/2014/main" id="{9A327DE7-14B1-428B-9561-A2BC553B97EB}"/>
                  </a:ext>
                </a:extLst>
              </cdr:cNvPr>
              <cdr:cNvSpPr/>
            </cdr:nvSpPr>
            <cdr:spPr>
              <a:xfrm xmlns:a="http://schemas.openxmlformats.org/drawingml/2006/main">
                <a:off x="4879562" y="824659"/>
                <a:ext cx="156981" cy="156957"/>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sp macro="" textlink="">
            <cdr:nvSpPr>
              <cdr:cNvPr id="6" name="Ellipse 5">
                <a:extLst xmlns:a="http://schemas.openxmlformats.org/drawingml/2006/main">
                  <a:ext uri="{FF2B5EF4-FFF2-40B4-BE49-F238E27FC236}">
                    <a16:creationId xmlns:a16="http://schemas.microsoft.com/office/drawing/2014/main" id="{3CEC78F2-141E-45FD-B0FB-1005ABE00B33}"/>
                  </a:ext>
                </a:extLst>
              </cdr:cNvPr>
              <cdr:cNvSpPr/>
            </cdr:nvSpPr>
            <cdr:spPr>
              <a:xfrm xmlns:a="http://schemas.openxmlformats.org/drawingml/2006/main">
                <a:off x="6036061" y="829403"/>
                <a:ext cx="157133" cy="157134"/>
              </a:xfrm>
              <a:prstGeom xmlns:a="http://schemas.openxmlformats.org/drawingml/2006/main" prst="ellipse">
                <a:avLst/>
              </a:prstGeom>
              <a:solidFill xmlns:a="http://schemas.openxmlformats.org/drawingml/2006/main">
                <a:srgbClr val="92D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grpSp>
      </cdr:grpSp>
    </cdr:grpSp>
  </cdr:relSizeAnchor>
</c:userShapes>
</file>

<file path=xl/drawings/drawing5.xml><?xml version="1.0" encoding="utf-8"?>
<c:userShapes xmlns:c="http://schemas.openxmlformats.org/drawingml/2006/chart">
  <cdr:relSizeAnchor xmlns:cdr="http://schemas.openxmlformats.org/drawingml/2006/chartDrawing">
    <cdr:from>
      <cdr:x>0.01026</cdr:x>
      <cdr:y>0.06094</cdr:y>
    </cdr:from>
    <cdr:to>
      <cdr:x>0.99372</cdr:x>
      <cdr:y>0.1338</cdr:y>
    </cdr:to>
    <cdr:sp macro="" textlink="">
      <cdr:nvSpPr>
        <cdr:cNvPr id="12" name="ZoneTexte 11">
          <a:extLst xmlns:a="http://schemas.openxmlformats.org/drawingml/2006/main">
            <a:ext uri="{FF2B5EF4-FFF2-40B4-BE49-F238E27FC236}">
              <a16:creationId xmlns:a16="http://schemas.microsoft.com/office/drawing/2014/main" id="{479D8E98-40D0-4B35-9185-E93D85264480}"/>
            </a:ext>
          </a:extLst>
        </cdr:cNvPr>
        <cdr:cNvSpPr txBox="1"/>
      </cdr:nvSpPr>
      <cdr:spPr>
        <a:xfrm xmlns:a="http://schemas.openxmlformats.org/drawingml/2006/main">
          <a:off x="44809" y="225369"/>
          <a:ext cx="4295080" cy="2694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a:t>(= Cout de production - aides ramenées à la tonne)</a:t>
          </a:r>
        </a:p>
      </cdr:txBody>
    </cdr:sp>
  </cdr:relSizeAnchor>
  <cdr:relSizeAnchor xmlns:cdr="http://schemas.openxmlformats.org/drawingml/2006/chartDrawing">
    <cdr:from>
      <cdr:x>0.20969</cdr:x>
      <cdr:y>0.92078</cdr:y>
    </cdr:from>
    <cdr:to>
      <cdr:x>0.8546</cdr:x>
      <cdr:y>0.98189</cdr:y>
    </cdr:to>
    <cdr:grpSp>
      <cdr:nvGrpSpPr>
        <cdr:cNvPr id="13" name="Groupe 12">
          <a:extLst xmlns:a="http://schemas.openxmlformats.org/drawingml/2006/main">
            <a:ext uri="{FF2B5EF4-FFF2-40B4-BE49-F238E27FC236}">
              <a16:creationId xmlns:a16="http://schemas.microsoft.com/office/drawing/2014/main" id="{5811B8EB-488A-4075-BDF5-D2F61C74AC65}"/>
            </a:ext>
          </a:extLst>
        </cdr:cNvPr>
        <cdr:cNvGrpSpPr/>
      </cdr:nvGrpSpPr>
      <cdr:grpSpPr>
        <a:xfrm xmlns:a="http://schemas.openxmlformats.org/drawingml/2006/main">
          <a:off x="992263" y="3225630"/>
          <a:ext cx="3051744" cy="214077"/>
          <a:chOff x="65580" y="0"/>
          <a:chExt cx="3976396" cy="323599"/>
        </a:xfrm>
      </cdr:grpSpPr>
      <cdr:sp macro="" textlink="">
        <cdr:nvSpPr>
          <cdr:cNvPr id="14" name="Rectangle 13">
            <a:extLst xmlns:a="http://schemas.openxmlformats.org/drawingml/2006/main">
              <a:ext uri="{FF2B5EF4-FFF2-40B4-BE49-F238E27FC236}">
                <a16:creationId xmlns:a16="http://schemas.microsoft.com/office/drawing/2014/main" id="{FF7661A1-682E-4D71-A329-BC47BD7E824E}"/>
              </a:ext>
            </a:extLst>
          </cdr:cNvPr>
          <cdr:cNvSpPr/>
        </cdr:nvSpPr>
        <cdr:spPr>
          <a:xfrm xmlns:a="http://schemas.openxmlformats.org/drawingml/2006/main">
            <a:off x="65580" y="2293"/>
            <a:ext cx="3970469" cy="295512"/>
          </a:xfrm>
          <a:prstGeom xmlns:a="http://schemas.openxmlformats.org/drawingml/2006/main" prst="rect">
            <a:avLst/>
          </a:prstGeom>
          <a:solidFill xmlns:a="http://schemas.openxmlformats.org/drawingml/2006/main">
            <a:schemeClr val="bg1"/>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grpSp>
        <cdr:nvGrpSpPr>
          <cdr:cNvPr id="15" name="Groupe 14">
            <a:extLst xmlns:a="http://schemas.openxmlformats.org/drawingml/2006/main">
              <a:ext uri="{FF2B5EF4-FFF2-40B4-BE49-F238E27FC236}">
                <a16:creationId xmlns:a16="http://schemas.microsoft.com/office/drawing/2014/main" id="{559B39B7-7836-435F-A940-8E20530FE1F2}"/>
              </a:ext>
            </a:extLst>
          </cdr:cNvPr>
          <cdr:cNvGrpSpPr/>
        </cdr:nvGrpSpPr>
        <cdr:grpSpPr>
          <a:xfrm xmlns:a="http://schemas.openxmlformats.org/drawingml/2006/main">
            <a:off x="224900" y="0"/>
            <a:ext cx="3817076" cy="323599"/>
            <a:chOff x="159293" y="0"/>
            <a:chExt cx="2702611" cy="256102"/>
          </a:xfrm>
        </cdr:grpSpPr>
        <cdr:sp macro="" textlink="">
          <cdr:nvSpPr>
            <cdr:cNvPr id="16" name="Rectangle 15">
              <a:extLst xmlns:a="http://schemas.openxmlformats.org/drawingml/2006/main">
                <a:ext uri="{FF2B5EF4-FFF2-40B4-BE49-F238E27FC236}">
                  <a16:creationId xmlns:a16="http://schemas.microsoft.com/office/drawing/2014/main" id="{245303FE-B976-4C27-B97D-DD79B05D5520}"/>
                </a:ext>
              </a:extLst>
            </cdr:cNvPr>
            <cdr:cNvSpPr/>
          </cdr:nvSpPr>
          <cdr:spPr>
            <a:xfrm xmlns:a="http://schemas.openxmlformats.org/drawingml/2006/main">
              <a:off x="159293" y="38623"/>
              <a:ext cx="104152" cy="126334"/>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grpSp>
          <cdr:nvGrpSpPr>
            <cdr:cNvPr id="17" name="Groupe 16">
              <a:extLst xmlns:a="http://schemas.openxmlformats.org/drawingml/2006/main">
                <a:ext uri="{FF2B5EF4-FFF2-40B4-BE49-F238E27FC236}">
                  <a16:creationId xmlns:a16="http://schemas.microsoft.com/office/drawing/2014/main" id="{61B58005-8380-461F-8F8A-3FDCC691526F}"/>
                </a:ext>
              </a:extLst>
            </cdr:cNvPr>
            <cdr:cNvGrpSpPr/>
          </cdr:nvGrpSpPr>
          <cdr:grpSpPr>
            <a:xfrm xmlns:a="http://schemas.openxmlformats.org/drawingml/2006/main">
              <a:off x="300840" y="0"/>
              <a:ext cx="2561064" cy="256102"/>
              <a:chOff x="300908" y="0"/>
              <a:chExt cx="2562125" cy="256476"/>
            </a:xfrm>
          </cdr:grpSpPr>
          <cdr:sp macro="" textlink="">
            <cdr:nvSpPr>
              <cdr:cNvPr id="20" name="ZoneTexte 8">
                <a:extLst xmlns:a="http://schemas.openxmlformats.org/drawingml/2006/main">
                  <a:ext uri="{FF2B5EF4-FFF2-40B4-BE49-F238E27FC236}">
                    <a16:creationId xmlns:a16="http://schemas.microsoft.com/office/drawing/2014/main" id="{954276A0-FDAA-4D14-B3B5-E00E45F2A31D}"/>
                  </a:ext>
                </a:extLst>
              </cdr:cNvPr>
              <cdr:cNvSpPr txBox="1"/>
            </cdr:nvSpPr>
            <cdr:spPr>
              <a:xfrm xmlns:a="http://schemas.openxmlformats.org/drawingml/2006/main">
                <a:off x="300908" y="0"/>
                <a:ext cx="2562125" cy="25647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a:t>Rdt moyen          Rdt min         Rdt max</a:t>
                </a:r>
              </a:p>
            </cdr:txBody>
          </cdr:sp>
          <cdr:sp macro="" textlink="">
            <cdr:nvSpPr>
              <cdr:cNvPr id="18" name="Rectangle 17">
                <a:extLst xmlns:a="http://schemas.openxmlformats.org/drawingml/2006/main">
                  <a:ext uri="{FF2B5EF4-FFF2-40B4-BE49-F238E27FC236}">
                    <a16:creationId xmlns:a16="http://schemas.microsoft.com/office/drawing/2014/main" id="{2AA708CD-433C-4E27-BB93-4BA56D9E46FD}"/>
                  </a:ext>
                </a:extLst>
              </cdr:cNvPr>
              <cdr:cNvSpPr/>
            </cdr:nvSpPr>
            <cdr:spPr>
              <a:xfrm xmlns:a="http://schemas.openxmlformats.org/drawingml/2006/main">
                <a:off x="1179536" y="43899"/>
                <a:ext cx="104195" cy="126522"/>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sp macro="" textlink="">
            <cdr:nvSpPr>
              <cdr:cNvPr id="19" name="Ellipse 18">
                <a:extLst xmlns:a="http://schemas.openxmlformats.org/drawingml/2006/main">
                  <a:ext uri="{FF2B5EF4-FFF2-40B4-BE49-F238E27FC236}">
                    <a16:creationId xmlns:a16="http://schemas.microsoft.com/office/drawing/2014/main" id="{458DFA3B-229C-4B8B-8E87-BBE7D34EA8B6}"/>
                  </a:ext>
                </a:extLst>
              </cdr:cNvPr>
              <cdr:cNvSpPr/>
            </cdr:nvSpPr>
            <cdr:spPr>
              <a:xfrm xmlns:a="http://schemas.openxmlformats.org/drawingml/2006/main">
                <a:off x="1938493" y="50146"/>
                <a:ext cx="104297" cy="126664"/>
              </a:xfrm>
              <a:prstGeom xmlns:a="http://schemas.openxmlformats.org/drawingml/2006/main" prst="ellipse">
                <a:avLst/>
              </a:prstGeom>
              <a:solidFill xmlns:a="http://schemas.openxmlformats.org/drawingml/2006/main">
                <a:srgbClr val="92D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grpSp>
      </cdr:grpSp>
    </cdr:grpSp>
  </cdr:relSizeAnchor>
</c:userShapes>
</file>

<file path=xl/drawings/drawing6.xml><?xml version="1.0" encoding="utf-8"?>
<c:userShapes xmlns:c="http://schemas.openxmlformats.org/drawingml/2006/chart">
  <cdr:relSizeAnchor xmlns:cdr="http://schemas.openxmlformats.org/drawingml/2006/chartDrawing">
    <cdr:from>
      <cdr:x>0.01186</cdr:x>
      <cdr:y>0.05235</cdr:y>
    </cdr:from>
    <cdr:to>
      <cdr:x>0.98272</cdr:x>
      <cdr:y>0.10357</cdr:y>
    </cdr:to>
    <cdr:sp macro="" textlink="">
      <cdr:nvSpPr>
        <cdr:cNvPr id="3" name="ZoneTexte 1">
          <a:extLst xmlns:a="http://schemas.openxmlformats.org/drawingml/2006/main">
            <a:ext uri="{FF2B5EF4-FFF2-40B4-BE49-F238E27FC236}">
              <a16:creationId xmlns:a16="http://schemas.microsoft.com/office/drawing/2014/main" id="{5F1506AE-4ABD-472E-8ED0-B126D99C4B17}"/>
            </a:ext>
          </a:extLst>
        </cdr:cNvPr>
        <cdr:cNvSpPr txBox="1"/>
      </cdr:nvSpPr>
      <cdr:spPr>
        <a:xfrm xmlns:a="http://schemas.openxmlformats.org/drawingml/2006/main">
          <a:off x="73212" y="274918"/>
          <a:ext cx="5995147" cy="2689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a:t>(= rendement</a:t>
          </a:r>
          <a:r>
            <a:rPr lang="fr-FR" sz="1200" baseline="0"/>
            <a:t> x prix de vente + aides - charges *</a:t>
          </a:r>
          <a:r>
            <a:rPr lang="fr-FR" sz="1200"/>
            <a:t>)</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cdr:y>
    </cdr:from>
    <cdr:to>
      <cdr:x>0.98578</cdr:x>
      <cdr:y>0.1917</cdr:y>
    </cdr:to>
    <cdr:sp macro="" textlink="">
      <cdr:nvSpPr>
        <cdr:cNvPr id="2" name="ZoneTexte 1">
          <a:extLst xmlns:a="http://schemas.openxmlformats.org/drawingml/2006/main">
            <a:ext uri="{FF2B5EF4-FFF2-40B4-BE49-F238E27FC236}">
              <a16:creationId xmlns:a16="http://schemas.microsoft.com/office/drawing/2014/main" id="{1B7DF132-B22F-4408-8745-28322F3861D8}"/>
            </a:ext>
          </a:extLst>
        </cdr:cNvPr>
        <cdr:cNvSpPr txBox="1"/>
      </cdr:nvSpPr>
      <cdr:spPr>
        <a:xfrm xmlns:a="http://schemas.openxmlformats.org/drawingml/2006/main">
          <a:off x="0" y="0"/>
          <a:ext cx="2954723" cy="7861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600" b="1"/>
            <a:t>Ecart</a:t>
          </a:r>
          <a:r>
            <a:rPr lang="fr-FR" sz="1600" b="1" baseline="0"/>
            <a:t> de charges </a:t>
          </a:r>
          <a:r>
            <a:rPr lang="fr-FR" sz="1600" b="1" baseline="0">
              <a:solidFill>
                <a:srgbClr val="FF0000"/>
              </a:solidFill>
            </a:rPr>
            <a:t>par hectare</a:t>
          </a:r>
        </a:p>
        <a:p xmlns:a="http://schemas.openxmlformats.org/drawingml/2006/main">
          <a:pPr algn="ctr"/>
          <a:r>
            <a:rPr lang="fr-FR" sz="1600" b="1" baseline="0"/>
            <a:t>par rapport à la situation de départ</a:t>
          </a:r>
          <a:endParaRPr lang="fr-FR" sz="1600" b="1"/>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0.99054</cdr:x>
      <cdr:y>0.15213</cdr:y>
    </cdr:to>
    <cdr:sp macro="" textlink="">
      <cdr:nvSpPr>
        <cdr:cNvPr id="3" name="ZoneTexte 1">
          <a:extLst xmlns:a="http://schemas.openxmlformats.org/drawingml/2006/main">
            <a:ext uri="{FF2B5EF4-FFF2-40B4-BE49-F238E27FC236}">
              <a16:creationId xmlns:a16="http://schemas.microsoft.com/office/drawing/2014/main" id="{C11D0E0F-D9DF-430F-8372-A2ECEFF69350}"/>
            </a:ext>
          </a:extLst>
        </cdr:cNvPr>
        <cdr:cNvSpPr txBox="1"/>
      </cdr:nvSpPr>
      <cdr:spPr>
        <a:xfrm xmlns:a="http://schemas.openxmlformats.org/drawingml/2006/main">
          <a:off x="0" y="0"/>
          <a:ext cx="3989244" cy="5178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b="1"/>
            <a:t>Ecart</a:t>
          </a:r>
          <a:r>
            <a:rPr lang="fr-FR" sz="1600" b="1" baseline="0"/>
            <a:t> de charges </a:t>
          </a:r>
          <a:r>
            <a:rPr lang="fr-FR" sz="1600" b="1" baseline="0">
              <a:solidFill>
                <a:srgbClr val="FF0000"/>
              </a:solidFill>
            </a:rPr>
            <a:t>par tonne </a:t>
          </a:r>
          <a:r>
            <a:rPr lang="fr-FR" sz="1600" b="1" baseline="0"/>
            <a:t>(rdt moy)</a:t>
          </a:r>
        </a:p>
        <a:p xmlns:a="http://schemas.openxmlformats.org/drawingml/2006/main">
          <a:pPr algn="ctr"/>
          <a:r>
            <a:rPr lang="fr-FR" sz="1600" b="1" baseline="0"/>
            <a:t>par rapport à la situation de départ</a:t>
          </a:r>
          <a:endParaRPr lang="fr-FR" sz="1600" b="1"/>
        </a:p>
      </cdr:txBody>
    </cdr:sp>
  </cdr:relSizeAnchor>
</c:userShapes>
</file>

<file path=xl/drawings/drawing9.xml><?xml version="1.0" encoding="utf-8"?>
<c:userShapes xmlns:c="http://schemas.openxmlformats.org/drawingml/2006/chart">
  <cdr:relSizeAnchor xmlns:cdr="http://schemas.openxmlformats.org/drawingml/2006/chartDrawing">
    <cdr:from>
      <cdr:x>0</cdr:x>
      <cdr:y>0.00836</cdr:y>
    </cdr:from>
    <cdr:to>
      <cdr:x>1</cdr:x>
      <cdr:y>0.16409</cdr:y>
    </cdr:to>
    <cdr:sp macro="" textlink="">
      <cdr:nvSpPr>
        <cdr:cNvPr id="2" name="ZoneTexte 1">
          <a:extLst xmlns:a="http://schemas.openxmlformats.org/drawingml/2006/main">
            <a:ext uri="{FF2B5EF4-FFF2-40B4-BE49-F238E27FC236}">
              <a16:creationId xmlns:a16="http://schemas.microsoft.com/office/drawing/2014/main" id="{E895955A-F190-4506-AE42-F5B1C21B2BCE}"/>
            </a:ext>
          </a:extLst>
        </cdr:cNvPr>
        <cdr:cNvSpPr txBox="1"/>
      </cdr:nvSpPr>
      <cdr:spPr>
        <a:xfrm xmlns:a="http://schemas.openxmlformats.org/drawingml/2006/main">
          <a:off x="0" y="28549"/>
          <a:ext cx="3001774" cy="53174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600" b="1" i="0" baseline="0">
              <a:effectLst/>
              <a:latin typeface="+mn-lt"/>
              <a:ea typeface="+mn-ea"/>
              <a:cs typeface="+mn-cs"/>
            </a:rPr>
            <a:t>Charges en € </a:t>
          </a:r>
          <a:r>
            <a:rPr lang="fr-FR" sz="1600" b="1" i="0" baseline="0">
              <a:solidFill>
                <a:srgbClr val="FF0000"/>
              </a:solidFill>
              <a:effectLst/>
              <a:latin typeface="+mn-lt"/>
              <a:ea typeface="+mn-ea"/>
              <a:cs typeface="+mn-cs"/>
            </a:rPr>
            <a:t>par hectare </a:t>
          </a:r>
          <a:endParaRPr lang="fr-FR" sz="1600">
            <a:solidFill>
              <a:srgbClr val="FF0000"/>
            </a:solidFill>
            <a:effectLst/>
          </a:endParaRPr>
        </a:p>
        <a:p xmlns:a="http://schemas.openxmlformats.org/drawingml/2006/main">
          <a:pPr algn="ctr" rtl="0"/>
          <a:r>
            <a:rPr lang="fr-FR" sz="1400" b="1" i="0" baseline="0">
              <a:effectLst/>
              <a:latin typeface="+mn-lt"/>
              <a:ea typeface="+mn-ea"/>
              <a:cs typeface="+mn-cs"/>
            </a:rPr>
            <a:t>(postes de charge saisis uniquement)</a:t>
          </a:r>
          <a:r>
            <a:rPr lang="fr-FR" sz="1400" b="0" i="0" baseline="0">
              <a:effectLst/>
              <a:latin typeface="+mn-lt"/>
              <a:ea typeface="+mn-ea"/>
              <a:cs typeface="+mn-cs"/>
            </a:rPr>
            <a:t> </a:t>
          </a:r>
          <a:endParaRPr lang="fr-FR" sz="1400">
            <a:effectLst/>
          </a:endParaRPr>
        </a:p>
      </cdr:txBody>
    </cdr:sp>
  </cdr:relSizeAnchor>
</c:userShape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199FB-3E48-48FB-BDA1-DDA1BE0B28BE}">
  <sheetPr>
    <tabColor theme="0" tint="-0.34998626667073579"/>
    <pageSetUpPr fitToPage="1"/>
  </sheetPr>
  <dimension ref="A1:AB84"/>
  <sheetViews>
    <sheetView zoomScale="85" zoomScaleNormal="85" workbookViewId="0">
      <selection activeCell="B7" sqref="B7:S7"/>
    </sheetView>
  </sheetViews>
  <sheetFormatPr baseColWidth="10" defaultRowHeight="15" x14ac:dyDescent="0.25"/>
  <cols>
    <col min="1" max="1" width="1.85546875" style="1" customWidth="1"/>
    <col min="2" max="9" width="11.42578125" style="1"/>
    <col min="10" max="12" width="7.5703125" style="1" customWidth="1"/>
    <col min="13" max="13" width="5.85546875" style="1" customWidth="1"/>
    <col min="14" max="17" width="11.42578125" style="1"/>
    <col min="18" max="18" width="17.5703125" style="1" customWidth="1"/>
    <col min="19" max="19" width="6.7109375" style="1" customWidth="1"/>
    <col min="20" max="25" width="11.42578125" style="1"/>
    <col min="26" max="26" width="5" style="1" customWidth="1"/>
    <col min="27" max="16384" width="11.42578125" style="1"/>
  </cols>
  <sheetData>
    <row r="1" spans="1:28" ht="33.75" x14ac:dyDescent="0.25">
      <c r="B1" s="1" t="str">
        <f>SAISIE!AY9</f>
        <v>Version 220512</v>
      </c>
      <c r="C1" s="47"/>
      <c r="D1" s="47"/>
      <c r="E1" s="47"/>
      <c r="F1" s="47"/>
      <c r="G1" s="47"/>
      <c r="H1" s="47"/>
      <c r="I1" s="47"/>
      <c r="J1" s="47"/>
      <c r="K1" s="47"/>
      <c r="L1" s="47"/>
      <c r="M1" s="47"/>
      <c r="N1" s="47"/>
      <c r="O1" s="47"/>
      <c r="P1" s="47"/>
    </row>
    <row r="2" spans="1:28" ht="15" customHeight="1" x14ac:dyDescent="0.25">
      <c r="B2" s="41"/>
      <c r="C2" s="41"/>
      <c r="M2" s="42"/>
      <c r="N2" s="42"/>
      <c r="O2" s="42"/>
      <c r="P2" s="42"/>
      <c r="Q2" s="42"/>
      <c r="R2" s="42"/>
      <c r="S2" s="42"/>
      <c r="T2" s="42"/>
      <c r="U2" s="42"/>
      <c r="V2" s="42"/>
    </row>
    <row r="3" spans="1:28" ht="15" customHeight="1" x14ac:dyDescent="0.25">
      <c r="B3" s="41"/>
      <c r="C3" s="41"/>
      <c r="M3" s="42"/>
      <c r="N3" s="42"/>
      <c r="O3" s="42"/>
      <c r="P3" s="42"/>
      <c r="Q3" s="42"/>
      <c r="R3" s="42"/>
      <c r="S3" s="42"/>
      <c r="T3" s="42"/>
      <c r="U3" s="42"/>
      <c r="V3" s="42"/>
    </row>
    <row r="4" spans="1:28" ht="15" customHeight="1" x14ac:dyDescent="0.25">
      <c r="B4" s="41"/>
      <c r="C4" s="41"/>
      <c r="N4" s="42"/>
      <c r="O4" s="42"/>
      <c r="P4" s="42"/>
      <c r="Q4" s="42"/>
      <c r="R4" s="42"/>
      <c r="S4" s="42"/>
      <c r="T4" s="42"/>
      <c r="U4" s="42"/>
      <c r="V4" s="42"/>
    </row>
    <row r="5" spans="1:28" ht="15" customHeight="1" x14ac:dyDescent="0.25">
      <c r="A5" s="49"/>
      <c r="B5" s="41"/>
      <c r="C5" s="41"/>
      <c r="M5" s="42"/>
      <c r="N5" s="42"/>
      <c r="O5" s="42"/>
      <c r="P5" s="42"/>
      <c r="Q5" s="42"/>
      <c r="R5" s="42"/>
      <c r="S5" s="42"/>
      <c r="T5" s="42"/>
      <c r="U5" s="42"/>
      <c r="V5" s="42"/>
    </row>
    <row r="6" spans="1:28" ht="46.5" customHeight="1" x14ac:dyDescent="0.25">
      <c r="B6" s="523" t="s">
        <v>199</v>
      </c>
      <c r="C6" s="523"/>
      <c r="D6" s="523"/>
      <c r="E6" s="523"/>
      <c r="F6" s="523"/>
      <c r="G6" s="523"/>
      <c r="H6" s="523"/>
      <c r="I6" s="523"/>
      <c r="J6" s="523"/>
      <c r="K6" s="523"/>
      <c r="L6" s="523"/>
      <c r="M6" s="523"/>
      <c r="N6" s="523"/>
      <c r="O6" s="523"/>
      <c r="P6" s="523"/>
      <c r="Q6" s="523"/>
      <c r="R6" s="523"/>
      <c r="S6" s="523"/>
      <c r="T6" s="50"/>
    </row>
    <row r="7" spans="1:28" ht="71.25" customHeight="1" x14ac:dyDescent="0.25">
      <c r="B7" s="524" t="s">
        <v>101</v>
      </c>
      <c r="C7" s="524"/>
      <c r="D7" s="524"/>
      <c r="E7" s="524"/>
      <c r="F7" s="524"/>
      <c r="G7" s="524"/>
      <c r="H7" s="524"/>
      <c r="I7" s="524"/>
      <c r="J7" s="524"/>
      <c r="K7" s="524"/>
      <c r="L7" s="524"/>
      <c r="M7" s="524"/>
      <c r="N7" s="524"/>
      <c r="O7" s="524"/>
      <c r="P7" s="524"/>
      <c r="Q7" s="524"/>
      <c r="R7" s="524"/>
      <c r="S7" s="524"/>
      <c r="T7" s="48"/>
    </row>
    <row r="8" spans="1:28" ht="15" customHeight="1" x14ac:dyDescent="0.25">
      <c r="B8" s="48"/>
      <c r="C8" s="48"/>
      <c r="D8" s="48"/>
      <c r="E8" s="48"/>
      <c r="F8" s="48"/>
      <c r="G8" s="48"/>
      <c r="H8" s="48"/>
      <c r="I8" s="48"/>
      <c r="J8" s="48"/>
      <c r="K8" s="48"/>
      <c r="L8" s="48"/>
      <c r="M8" s="48"/>
      <c r="N8" s="48"/>
      <c r="O8" s="48"/>
      <c r="P8" s="48"/>
      <c r="Q8" s="48"/>
      <c r="R8" s="48"/>
      <c r="S8" s="48"/>
      <c r="T8" s="48"/>
    </row>
    <row r="9" spans="1:28" ht="15" customHeight="1" x14ac:dyDescent="0.25">
      <c r="B9" s="48"/>
      <c r="C9" s="48"/>
      <c r="D9" s="48"/>
      <c r="E9" s="48"/>
      <c r="F9" s="48"/>
      <c r="G9" s="48"/>
      <c r="H9" s="48"/>
      <c r="I9" s="48"/>
      <c r="J9" s="48"/>
      <c r="K9" s="48"/>
      <c r="L9" s="48"/>
      <c r="M9" s="48"/>
      <c r="N9" s="48"/>
      <c r="O9" s="48"/>
      <c r="P9" s="48"/>
      <c r="Q9" s="48"/>
      <c r="R9" s="48"/>
      <c r="S9" s="48"/>
      <c r="T9" s="48"/>
    </row>
    <row r="10" spans="1:28" ht="33.75" customHeight="1" x14ac:dyDescent="0.25">
      <c r="B10" s="525" t="s">
        <v>200</v>
      </c>
      <c r="C10" s="525"/>
      <c r="D10" s="525"/>
      <c r="E10" s="525"/>
      <c r="F10" s="525"/>
      <c r="G10" s="525"/>
      <c r="H10" s="525"/>
      <c r="I10" s="525"/>
      <c r="J10" s="525"/>
      <c r="K10" s="525"/>
      <c r="L10" s="525"/>
      <c r="M10" s="525"/>
      <c r="N10" s="525"/>
      <c r="O10" s="525"/>
      <c r="P10" s="525"/>
      <c r="Q10" s="525"/>
      <c r="R10" s="525"/>
      <c r="S10" s="525"/>
    </row>
    <row r="11" spans="1:28" ht="15" customHeight="1" x14ac:dyDescent="0.25">
      <c r="A11" s="205"/>
      <c r="B11" s="205"/>
      <c r="C11" s="205"/>
      <c r="D11" s="205"/>
      <c r="E11" s="205"/>
      <c r="F11" s="205"/>
      <c r="G11" s="205"/>
      <c r="H11" s="205"/>
      <c r="I11" s="205"/>
      <c r="J11" s="205"/>
      <c r="K11" s="205"/>
      <c r="L11" s="205"/>
      <c r="M11" s="205"/>
      <c r="N11" s="205"/>
      <c r="O11" s="205"/>
      <c r="P11" s="205"/>
      <c r="Q11" s="205"/>
      <c r="R11" s="205"/>
    </row>
    <row r="12" spans="1:28" ht="28.5" x14ac:dyDescent="0.45">
      <c r="B12" s="46"/>
      <c r="C12" s="46"/>
      <c r="D12" s="46"/>
      <c r="E12" s="46"/>
      <c r="F12" s="46"/>
      <c r="G12" s="46"/>
      <c r="H12" s="46"/>
      <c r="I12" s="46"/>
      <c r="J12" s="46"/>
      <c r="K12" s="46"/>
      <c r="L12" s="46"/>
      <c r="M12" s="46"/>
      <c r="N12" s="46"/>
      <c r="O12" s="46"/>
    </row>
    <row r="14" spans="1:28" x14ac:dyDescent="0.25">
      <c r="AB14" s="202"/>
    </row>
    <row r="19" spans="16:22" x14ac:dyDescent="0.25">
      <c r="P19" s="45"/>
    </row>
    <row r="20" spans="16:22" x14ac:dyDescent="0.25">
      <c r="P20" s="45"/>
    </row>
    <row r="21" spans="16:22" x14ac:dyDescent="0.25">
      <c r="P21" s="45"/>
    </row>
    <row r="22" spans="16:22" x14ac:dyDescent="0.25">
      <c r="P22" s="45"/>
    </row>
    <row r="23" spans="16:22" x14ac:dyDescent="0.25">
      <c r="P23" s="45"/>
      <c r="V23" s="44"/>
    </row>
    <row r="84" spans="9:18" ht="15" customHeight="1" x14ac:dyDescent="0.25">
      <c r="I84" s="43"/>
      <c r="J84" s="43"/>
      <c r="K84" s="43"/>
      <c r="L84" s="43"/>
      <c r="M84" s="43"/>
      <c r="N84" s="43"/>
      <c r="O84" s="43"/>
      <c r="P84" s="43"/>
      <c r="Q84" s="43"/>
      <c r="R84" s="43"/>
    </row>
  </sheetData>
  <sheetProtection algorithmName="SHA-512" hashValue="yMmjiWmXf0z+zJH1kO5JHS5cBbyu69U2nrBuR4iDD4xtxUaTiTU+3cvHObEQZieo9885nwFwEm4THHXuetusDA==" saltValue="2isRVP/r8/etm75B2hLyyg==" spinCount="100000" sheet="1" objects="1" scenarios="1" selectLockedCells="1" selectUnlockedCells="1"/>
  <mergeCells count="3">
    <mergeCell ref="B6:S6"/>
    <mergeCell ref="B7:S7"/>
    <mergeCell ref="B10:S10"/>
  </mergeCells>
  <printOptions horizontalCentered="1" verticalCentered="1"/>
  <pageMargins left="0.23622047244094491" right="0.23622047244094491" top="0.74803149606299213" bottom="0.74803149606299213" header="0.31496062992125984" footer="0.31496062992125984"/>
  <pageSetup paperSize="9" scale="37"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0BCA-CB41-41BE-A008-7B70380D69C7}">
  <sheetPr>
    <tabColor rgb="FF00B0F0"/>
    <pageSetUpPr fitToPage="1"/>
  </sheetPr>
  <dimension ref="A1:BO219"/>
  <sheetViews>
    <sheetView tabSelected="1" zoomScaleNormal="100" workbookViewId="0">
      <selection activeCell="G14" sqref="G14:H14"/>
    </sheetView>
  </sheetViews>
  <sheetFormatPr baseColWidth="10" defaultRowHeight="15" x14ac:dyDescent="0.25"/>
  <cols>
    <col min="1" max="1" width="4.140625" style="237" customWidth="1"/>
    <col min="2" max="2" width="17.85546875" style="237" customWidth="1"/>
    <col min="3" max="3" width="10" style="237" customWidth="1"/>
    <col min="4" max="4" width="15.140625" style="237" customWidth="1"/>
    <col min="5" max="5" width="29.28515625" style="237" customWidth="1"/>
    <col min="6" max="6" width="17.7109375" style="39" bestFit="1" customWidth="1"/>
    <col min="7" max="7" width="14.140625" style="39" customWidth="1"/>
    <col min="8" max="8" width="9.85546875" style="39" customWidth="1"/>
    <col min="9" max="9" width="7.85546875" style="39" customWidth="1"/>
    <col min="10" max="10" width="9.7109375" style="39" customWidth="1"/>
    <col min="11" max="11" width="1.28515625" style="39" customWidth="1"/>
    <col min="12" max="12" width="9.85546875" style="39" customWidth="1"/>
    <col min="13" max="13" width="7.7109375" style="39" customWidth="1"/>
    <col min="14" max="14" width="9.7109375" style="39" customWidth="1"/>
    <col min="15" max="15" width="1.42578125" style="39" customWidth="1"/>
    <col min="16" max="16" width="9.85546875" style="39" customWidth="1"/>
    <col min="17" max="17" width="7.7109375" style="39" customWidth="1"/>
    <col min="18" max="18" width="9.7109375" style="39" customWidth="1"/>
    <col min="19" max="19" width="7.7109375" style="53" hidden="1" customWidth="1"/>
    <col min="20" max="20" width="5.7109375" style="53" hidden="1" customWidth="1"/>
    <col min="21" max="21" width="6.7109375" style="53" hidden="1" customWidth="1"/>
    <col min="22" max="22" width="3.28515625" style="39" hidden="1" customWidth="1"/>
    <col min="23" max="23" width="1.5703125" style="39" customWidth="1"/>
    <col min="24" max="26" width="6.42578125" style="39" customWidth="1"/>
    <col min="27" max="27" width="32.5703125" style="39" customWidth="1"/>
    <col min="28" max="28" width="2.7109375" style="53" customWidth="1"/>
    <col min="29" max="30" width="3" style="39" customWidth="1"/>
    <col min="31" max="35" width="3" style="237" customWidth="1"/>
    <col min="36" max="36" width="3.42578125" style="237" customWidth="1"/>
    <col min="37" max="42" width="2.7109375" style="237" customWidth="1"/>
    <col min="43" max="49" width="3" style="237" customWidth="1"/>
    <col min="50" max="51" width="2.7109375" style="237" customWidth="1"/>
    <col min="52" max="52" width="11.42578125" style="237"/>
    <col min="53" max="68" width="0" style="237" hidden="1" customWidth="1"/>
    <col min="69" max="16384" width="11.42578125" style="237"/>
  </cols>
  <sheetData>
    <row r="1" spans="1:51" ht="15" customHeight="1" x14ac:dyDescent="0.25">
      <c r="A1" s="39"/>
      <c r="B1" s="39"/>
      <c r="F1" s="237"/>
      <c r="G1" s="237"/>
      <c r="H1" s="237"/>
      <c r="I1" s="237"/>
      <c r="J1" s="237"/>
      <c r="K1" s="237"/>
      <c r="M1" s="238"/>
      <c r="N1" s="238"/>
      <c r="O1" s="238"/>
      <c r="P1" s="238"/>
      <c r="Q1" s="238"/>
      <c r="R1" s="238"/>
      <c r="S1" s="238"/>
      <c r="T1" s="238"/>
      <c r="U1" s="238"/>
      <c r="V1" s="238"/>
      <c r="W1" s="238"/>
      <c r="X1" s="238"/>
      <c r="Y1" s="238"/>
      <c r="Z1" s="238"/>
      <c r="AA1" s="238"/>
      <c r="AB1" s="239"/>
      <c r="AC1" s="237"/>
      <c r="AD1" s="237"/>
    </row>
    <row r="2" spans="1:51" ht="15" customHeight="1" x14ac:dyDescent="0.25">
      <c r="A2" s="39"/>
      <c r="B2" s="39"/>
      <c r="F2" s="237"/>
      <c r="G2" s="237"/>
      <c r="H2" s="237"/>
      <c r="I2" s="237"/>
      <c r="J2" s="237"/>
      <c r="K2" s="237"/>
      <c r="L2" s="238"/>
      <c r="M2" s="238"/>
      <c r="N2" s="238"/>
      <c r="O2" s="238"/>
      <c r="P2" s="238"/>
      <c r="Q2" s="238"/>
      <c r="R2" s="238"/>
      <c r="S2" s="238"/>
      <c r="T2" s="238"/>
      <c r="U2" s="238"/>
      <c r="V2" s="238"/>
      <c r="W2" s="238"/>
      <c r="X2" s="238"/>
      <c r="Y2" s="238"/>
      <c r="Z2" s="238"/>
      <c r="AA2" s="238"/>
      <c r="AB2" s="239"/>
      <c r="AC2" s="237"/>
      <c r="AD2" s="237"/>
    </row>
    <row r="3" spans="1:51" ht="15" customHeight="1" x14ac:dyDescent="0.25">
      <c r="A3" s="39"/>
      <c r="B3" s="39"/>
      <c r="F3" s="237"/>
      <c r="G3" s="237"/>
      <c r="H3" s="237"/>
      <c r="I3" s="237"/>
      <c r="J3" s="237"/>
      <c r="K3" s="237"/>
      <c r="L3" s="238"/>
      <c r="M3" s="238"/>
      <c r="N3" s="238"/>
      <c r="O3" s="238"/>
      <c r="P3" s="238"/>
      <c r="Q3" s="238"/>
      <c r="R3" s="238"/>
      <c r="S3" s="238"/>
      <c r="T3" s="238"/>
      <c r="U3" s="238"/>
      <c r="V3" s="238"/>
      <c r="W3" s="238"/>
      <c r="X3" s="238"/>
      <c r="Y3" s="238"/>
      <c r="Z3" s="238"/>
      <c r="AA3" s="238"/>
      <c r="AB3" s="239"/>
      <c r="AC3" s="237"/>
      <c r="AD3" s="237"/>
    </row>
    <row r="4" spans="1:51" ht="18.75" customHeight="1" x14ac:dyDescent="0.25">
      <c r="A4" s="39"/>
      <c r="B4" s="39"/>
      <c r="F4" s="237"/>
      <c r="G4" s="237"/>
      <c r="H4" s="237"/>
      <c r="I4" s="237"/>
      <c r="J4" s="237"/>
      <c r="K4" s="237"/>
      <c r="L4" s="238"/>
      <c r="M4" s="238"/>
      <c r="N4" s="238"/>
      <c r="O4" s="238"/>
      <c r="P4" s="238"/>
      <c r="Q4" s="238"/>
      <c r="R4" s="238"/>
      <c r="S4" s="238"/>
      <c r="T4" s="238"/>
      <c r="U4" s="238"/>
      <c r="V4" s="238"/>
      <c r="W4" s="238"/>
      <c r="X4" s="238"/>
      <c r="Y4" s="238"/>
      <c r="Z4" s="238"/>
      <c r="AA4" s="238"/>
      <c r="AB4" s="239"/>
      <c r="AC4" s="237"/>
      <c r="AD4" s="237"/>
    </row>
    <row r="5" spans="1:51" ht="18" customHeight="1" x14ac:dyDescent="0.25">
      <c r="F5" s="237"/>
      <c r="G5" s="237"/>
      <c r="H5" s="237"/>
      <c r="I5" s="237"/>
      <c r="J5" s="237"/>
      <c r="K5" s="237"/>
      <c r="L5" s="237"/>
      <c r="M5" s="237"/>
      <c r="N5" s="240"/>
      <c r="O5" s="240"/>
      <c r="P5" s="240"/>
      <c r="Q5" s="240"/>
      <c r="R5" s="240"/>
      <c r="S5" s="240"/>
      <c r="T5" s="240"/>
      <c r="U5" s="241"/>
      <c r="V5" s="241"/>
      <c r="W5" s="241"/>
      <c r="X5" s="241"/>
      <c r="Y5" s="241"/>
      <c r="Z5" s="237"/>
      <c r="AA5" s="237"/>
      <c r="AB5" s="239"/>
      <c r="AC5" s="237"/>
      <c r="AD5" s="237"/>
    </row>
    <row r="6" spans="1:51" ht="23.25" customHeight="1" x14ac:dyDescent="0.25">
      <c r="A6" s="582"/>
      <c r="B6" s="582"/>
      <c r="C6" s="582"/>
      <c r="D6" s="582"/>
      <c r="E6" s="582"/>
      <c r="F6" s="582"/>
      <c r="G6" s="582"/>
      <c r="H6" s="582"/>
      <c r="I6" s="582"/>
      <c r="J6" s="582"/>
      <c r="K6" s="582"/>
      <c r="L6" s="582"/>
      <c r="M6" s="582"/>
      <c r="N6" s="582"/>
      <c r="O6" s="582"/>
      <c r="P6" s="582"/>
      <c r="Q6" s="582"/>
      <c r="R6" s="582"/>
      <c r="S6" s="582"/>
      <c r="T6" s="582"/>
      <c r="U6" s="582"/>
      <c r="V6" s="582"/>
      <c r="W6" s="582"/>
      <c r="X6" s="582"/>
      <c r="Y6" s="582"/>
      <c r="Z6" s="582"/>
      <c r="AA6" s="582"/>
      <c r="AB6" s="242"/>
      <c r="AC6" s="238"/>
      <c r="AD6" s="238"/>
      <c r="AE6" s="238"/>
      <c r="AF6" s="238"/>
      <c r="AG6" s="238"/>
      <c r="AH6" s="238"/>
      <c r="AI6" s="238"/>
      <c r="AJ6" s="238"/>
      <c r="AK6" s="238"/>
      <c r="AL6" s="238"/>
      <c r="AM6" s="238"/>
    </row>
    <row r="7" spans="1:51" ht="23.25" customHeight="1" x14ac:dyDescent="0.25">
      <c r="A7" s="582"/>
      <c r="B7" s="582"/>
      <c r="C7" s="582"/>
      <c r="D7" s="582"/>
      <c r="E7" s="582"/>
      <c r="F7" s="582"/>
      <c r="G7" s="582"/>
      <c r="H7" s="582"/>
      <c r="I7" s="582"/>
      <c r="J7" s="582"/>
      <c r="K7" s="582"/>
      <c r="L7" s="582"/>
      <c r="M7" s="582"/>
      <c r="N7" s="582"/>
      <c r="O7" s="582"/>
      <c r="P7" s="582"/>
      <c r="Q7" s="582"/>
      <c r="R7" s="582"/>
      <c r="S7" s="582"/>
      <c r="T7" s="582"/>
      <c r="U7" s="582"/>
      <c r="V7" s="582"/>
      <c r="W7" s="582"/>
      <c r="X7" s="582"/>
      <c r="Y7" s="582"/>
      <c r="Z7" s="582"/>
      <c r="AA7" s="582"/>
      <c r="AB7" s="242"/>
      <c r="AC7" s="238"/>
      <c r="AD7" s="238"/>
      <c r="AE7" s="238"/>
      <c r="AF7" s="238"/>
      <c r="AG7" s="238"/>
      <c r="AH7" s="238"/>
      <c r="AI7" s="238"/>
      <c r="AJ7" s="238"/>
      <c r="AK7" s="238"/>
      <c r="AL7" s="238"/>
      <c r="AM7" s="238"/>
    </row>
    <row r="8" spans="1:51" ht="27" customHeight="1" x14ac:dyDescent="0.25">
      <c r="A8" s="583"/>
      <c r="B8" s="583"/>
      <c r="C8" s="583"/>
      <c r="D8" s="583"/>
      <c r="E8" s="583"/>
      <c r="F8" s="583"/>
      <c r="G8" s="583"/>
      <c r="H8" s="583"/>
      <c r="I8" s="583"/>
      <c r="J8" s="583"/>
      <c r="K8" s="583"/>
      <c r="L8" s="583"/>
      <c r="M8" s="583"/>
      <c r="N8" s="583"/>
      <c r="O8" s="583"/>
      <c r="P8" s="583"/>
      <c r="Q8" s="583"/>
      <c r="R8" s="583"/>
      <c r="S8" s="583"/>
      <c r="T8" s="583"/>
      <c r="U8" s="583"/>
      <c r="V8" s="583"/>
      <c r="W8" s="583"/>
      <c r="X8" s="583"/>
      <c r="Y8" s="583"/>
      <c r="Z8" s="583"/>
      <c r="AA8" s="583"/>
      <c r="AB8" s="243"/>
      <c r="AC8" s="244"/>
      <c r="AD8" s="244"/>
      <c r="AE8" s="244"/>
      <c r="AF8" s="244"/>
      <c r="AG8" s="244"/>
      <c r="AH8" s="244"/>
      <c r="AI8" s="244"/>
      <c r="AJ8" s="244"/>
      <c r="AK8" s="244"/>
      <c r="AL8" s="244"/>
      <c r="AM8" s="244"/>
    </row>
    <row r="9" spans="1:51" ht="33.75" x14ac:dyDescent="0.5">
      <c r="A9" s="602" t="s">
        <v>79</v>
      </c>
      <c r="B9" s="602"/>
      <c r="C9" s="602"/>
      <c r="D9" s="602"/>
      <c r="E9" s="602"/>
      <c r="F9" s="602"/>
      <c r="G9" s="602"/>
      <c r="H9" s="602"/>
      <c r="I9" s="602"/>
      <c r="J9" s="602"/>
      <c r="K9" s="602"/>
      <c r="L9" s="602"/>
      <c r="M9" s="602"/>
      <c r="N9" s="602"/>
      <c r="O9" s="602"/>
      <c r="P9" s="602"/>
      <c r="Q9" s="602"/>
      <c r="R9" s="602"/>
      <c r="S9" s="602"/>
      <c r="T9" s="602"/>
      <c r="U9" s="602"/>
      <c r="V9" s="602"/>
      <c r="W9" s="602"/>
      <c r="X9" s="602"/>
      <c r="Y9" s="602"/>
      <c r="Z9" s="602"/>
      <c r="AA9" s="602"/>
      <c r="AB9" s="602"/>
      <c r="AC9" s="602"/>
      <c r="AD9" s="602"/>
      <c r="AE9" s="602"/>
      <c r="AF9" s="602"/>
      <c r="AG9" s="602"/>
      <c r="AH9" s="602"/>
      <c r="AI9" s="602"/>
      <c r="AJ9" s="602"/>
      <c r="AK9" s="602"/>
      <c r="AL9" s="602"/>
      <c r="AM9" s="602"/>
      <c r="AN9" s="602"/>
      <c r="AO9" s="602"/>
      <c r="AP9" s="602"/>
      <c r="AQ9" s="602"/>
      <c r="AR9" s="602"/>
      <c r="AS9" s="602"/>
      <c r="AT9" s="245"/>
      <c r="AU9" s="245"/>
      <c r="AV9" s="246"/>
      <c r="AW9" s="246"/>
      <c r="AX9" s="246"/>
      <c r="AY9" s="247" t="s">
        <v>209</v>
      </c>
    </row>
    <row r="10" spans="1:51" x14ac:dyDescent="0.25">
      <c r="E10" s="248"/>
      <c r="P10" s="237"/>
      <c r="Q10" s="237"/>
      <c r="R10" s="237"/>
      <c r="S10" s="249" t="s">
        <v>59</v>
      </c>
      <c r="T10" s="39"/>
      <c r="U10" s="39"/>
      <c r="W10" s="237"/>
      <c r="X10" s="237"/>
      <c r="Y10" s="237"/>
      <c r="AF10" s="39"/>
      <c r="AG10" s="53"/>
      <c r="AH10" s="39"/>
      <c r="AI10" s="39"/>
      <c r="AJ10" s="39"/>
      <c r="AK10" s="39"/>
      <c r="AL10" s="39"/>
    </row>
    <row r="11" spans="1:51" ht="15" customHeight="1" x14ac:dyDescent="0.25">
      <c r="P11" s="237"/>
      <c r="Q11" s="237"/>
      <c r="R11" s="237"/>
      <c r="S11" s="39" t="str">
        <f>IF(OR(J21="",J21=0),"X","")</f>
        <v>X</v>
      </c>
      <c r="T11" s="39" t="s">
        <v>77</v>
      </c>
      <c r="U11" s="248" t="s">
        <v>86</v>
      </c>
      <c r="W11" s="237"/>
      <c r="X11" s="237"/>
      <c r="Y11" s="237"/>
      <c r="AG11" s="53"/>
      <c r="AH11" s="39"/>
      <c r="AI11" s="39"/>
      <c r="AJ11" s="39"/>
      <c r="AK11" s="39"/>
      <c r="AL11" s="39"/>
    </row>
    <row r="12" spans="1:51" ht="15" customHeight="1" x14ac:dyDescent="0.25">
      <c r="E12" s="250" t="s">
        <v>97</v>
      </c>
      <c r="P12" s="237"/>
      <c r="Q12" s="237"/>
      <c r="R12" s="237"/>
      <c r="S12" s="39" t="str">
        <f>IF(ISERROR(VLOOKUP(T15,$X$32:$X$70,1,FALSE))=FALSE,"X",IF(ISERROR(VLOOKUP(T15,$Y$32:$Y$70,1,FALSE))=FALSE,"X",IF(ISERROR(VLOOKUP(T15,$Z$32:$Z$70,1,FALSE))=FALSE,"X","")))</f>
        <v/>
      </c>
      <c r="T12" s="251" t="s">
        <v>116</v>
      </c>
      <c r="U12" s="248" t="s">
        <v>117</v>
      </c>
      <c r="V12" s="237"/>
      <c r="W12" s="237"/>
      <c r="X12" s="237"/>
      <c r="Y12" s="237"/>
    </row>
    <row r="13" spans="1:51" ht="15" customHeight="1" x14ac:dyDescent="0.25">
      <c r="E13" s="252" t="s">
        <v>98</v>
      </c>
      <c r="J13" s="600" t="s">
        <v>85</v>
      </c>
      <c r="K13" s="600"/>
      <c r="L13" s="601"/>
      <c r="M13" s="601"/>
      <c r="N13" s="599" t="str">
        <f>U25</f>
        <v/>
      </c>
      <c r="P13" s="237"/>
      <c r="Q13" s="237"/>
      <c r="R13" s="237"/>
      <c r="S13" s="39" t="str">
        <f>IF(ISERROR(VLOOKUP(T16,$X$32:$X$70,1,FALSE))=FALSE,"X",IF(ISERROR(VLOOKUP(T16,$Y$32:$Y$70,1,FALSE))=FALSE,"X",IF(ISERROR(VLOOKUP(T16,$Z$32:$Z$70,1,FALSE))=FALSE,"X","")))</f>
        <v/>
      </c>
      <c r="T13" s="251" t="s">
        <v>118</v>
      </c>
      <c r="U13" s="248" t="s">
        <v>120</v>
      </c>
      <c r="V13" s="237"/>
      <c r="W13" s="237"/>
      <c r="X13" s="237"/>
      <c r="Y13" s="237"/>
      <c r="AC13" s="253"/>
      <c r="AD13" s="253"/>
      <c r="AE13" s="253"/>
      <c r="AF13" s="253"/>
      <c r="AG13" s="253"/>
      <c r="AH13" s="253"/>
      <c r="AI13" s="253"/>
      <c r="AJ13" s="253"/>
      <c r="AK13" s="253"/>
      <c r="AL13" s="253"/>
      <c r="AM13" s="253"/>
      <c r="AN13" s="253"/>
      <c r="AO13" s="253"/>
      <c r="AP13" s="253"/>
      <c r="AQ13" s="253"/>
    </row>
    <row r="14" spans="1:51" ht="15" customHeight="1" x14ac:dyDescent="0.25">
      <c r="F14" s="254" t="s">
        <v>76</v>
      </c>
      <c r="G14" s="592"/>
      <c r="H14" s="592"/>
      <c r="J14" s="601"/>
      <c r="K14" s="601"/>
      <c r="L14" s="601"/>
      <c r="M14" s="601"/>
      <c r="N14" s="599"/>
      <c r="P14" s="237"/>
      <c r="Q14" s="237"/>
      <c r="R14" s="237"/>
      <c r="S14" s="39" t="str">
        <f>IF(ISERROR(VLOOKUP(T17,$X$32:$X$70,1,FALSE))=FALSE,"X",IF(ISERROR(VLOOKUP(T17,$Y$32:$Y$70,1,FALSE))=FALSE,"X",IF(ISERROR(VLOOKUP(T17,$Z$32:$Z$70,1,FALSE))=FALSE,"X","")))</f>
        <v/>
      </c>
      <c r="T14" s="251" t="s">
        <v>119</v>
      </c>
      <c r="U14" s="248" t="s">
        <v>121</v>
      </c>
      <c r="V14" s="237"/>
      <c r="W14" s="237"/>
      <c r="X14" s="237"/>
      <c r="Y14" s="237"/>
      <c r="Z14" s="255"/>
      <c r="AC14" s="253"/>
      <c r="AD14" s="253"/>
      <c r="AE14" s="253"/>
      <c r="AF14" s="253"/>
      <c r="AG14" s="253"/>
      <c r="AH14" s="253"/>
      <c r="AI14" s="253"/>
      <c r="AJ14" s="253"/>
      <c r="AK14" s="253"/>
      <c r="AL14" s="253"/>
      <c r="AM14" s="253"/>
      <c r="AN14" s="253"/>
      <c r="AO14" s="253"/>
      <c r="AP14" s="253"/>
      <c r="AQ14" s="253"/>
    </row>
    <row r="15" spans="1:51" ht="15" customHeight="1" x14ac:dyDescent="0.25">
      <c r="H15" s="237"/>
      <c r="I15" s="237"/>
      <c r="J15" s="237"/>
      <c r="K15" s="237"/>
      <c r="L15" s="237"/>
      <c r="M15" s="237"/>
      <c r="N15" s="237"/>
      <c r="O15" s="237"/>
      <c r="P15" s="237"/>
      <c r="Q15" s="237"/>
      <c r="R15" s="237"/>
      <c r="S15" s="39" t="str">
        <f>IF(ISERROR(VLOOKUP(T18,$X$32:$X$70,1,FALSE))=FALSE,"X",IF(ISERROR(VLOOKUP(T18,$Y$32:$Y$70,1,FALSE))=FALSE,"X",IF(ISERROR(VLOOKUP(T18,$Z$32:$Z$70,1,FALSE))=FALSE,"X","")))</f>
        <v/>
      </c>
      <c r="T15" s="251" t="s">
        <v>68</v>
      </c>
      <c r="U15" s="248" t="s">
        <v>67</v>
      </c>
      <c r="W15" s="237"/>
      <c r="X15" s="237"/>
      <c r="Y15" s="237"/>
      <c r="AC15" s="253"/>
      <c r="AD15" s="253"/>
      <c r="AE15" s="253"/>
      <c r="AF15" s="253"/>
      <c r="AG15" s="253"/>
      <c r="AH15" s="253"/>
      <c r="AI15" s="253"/>
      <c r="AJ15" s="253"/>
      <c r="AK15" s="253"/>
      <c r="AL15" s="253"/>
      <c r="AM15" s="253"/>
      <c r="AN15" s="253"/>
      <c r="AO15" s="253"/>
      <c r="AP15" s="253"/>
      <c r="AQ15" s="253"/>
    </row>
    <row r="16" spans="1:51" ht="15" customHeight="1" thickBot="1" x14ac:dyDescent="0.3">
      <c r="H16" s="237"/>
      <c r="I16" s="237"/>
      <c r="J16" s="237"/>
      <c r="K16" s="237"/>
      <c r="L16" s="237"/>
      <c r="M16" s="237"/>
      <c r="N16" s="237"/>
      <c r="O16" s="237"/>
      <c r="P16" s="237"/>
      <c r="Q16" s="237"/>
      <c r="R16" s="237"/>
      <c r="S16" s="39"/>
      <c r="T16" s="251" t="s">
        <v>69</v>
      </c>
      <c r="U16" s="248" t="s">
        <v>62</v>
      </c>
      <c r="W16" s="237"/>
      <c r="X16" s="237"/>
      <c r="Y16" s="237"/>
      <c r="AC16" s="253"/>
      <c r="AD16" s="253"/>
      <c r="AE16" s="253"/>
      <c r="AF16" s="253"/>
      <c r="AG16" s="253"/>
      <c r="AH16" s="253"/>
      <c r="AI16" s="253"/>
      <c r="AJ16" s="253"/>
      <c r="AK16" s="253"/>
      <c r="AL16" s="253"/>
      <c r="AM16" s="253"/>
      <c r="AN16" s="253"/>
      <c r="AO16" s="253"/>
      <c r="AP16" s="253"/>
      <c r="AQ16" s="253"/>
    </row>
    <row r="17" spans="1:67" ht="15" customHeight="1" x14ac:dyDescent="0.25">
      <c r="H17" s="527" t="s">
        <v>29</v>
      </c>
      <c r="I17" s="594"/>
      <c r="J17" s="595"/>
      <c r="L17" s="527" t="s">
        <v>30</v>
      </c>
      <c r="M17" s="594"/>
      <c r="N17" s="595"/>
      <c r="P17" s="527" t="s">
        <v>31</v>
      </c>
      <c r="Q17" s="594"/>
      <c r="R17" s="595"/>
      <c r="S17" s="39"/>
      <c r="T17" s="251" t="s">
        <v>70</v>
      </c>
      <c r="U17" s="256" t="s">
        <v>64</v>
      </c>
      <c r="W17" s="237"/>
      <c r="X17" s="237"/>
      <c r="Y17" s="237"/>
      <c r="AA17" s="593" t="str">
        <f>IF(AND(I17="",M17="",Q17=""),"Donnez un nom aux situations",IF(I17="","Donnez un nom à la situation de départ",""))</f>
        <v>Donnez un nom aux situations</v>
      </c>
      <c r="AC17" s="253"/>
      <c r="AD17" s="253"/>
      <c r="AE17" s="253"/>
      <c r="AF17" s="253"/>
      <c r="AG17" s="253"/>
      <c r="AH17" s="253"/>
      <c r="AI17" s="253"/>
      <c r="AJ17" s="253"/>
      <c r="AK17" s="253"/>
      <c r="AL17" s="253"/>
      <c r="AM17" s="253"/>
      <c r="AN17" s="253"/>
      <c r="AO17" s="253"/>
      <c r="AP17" s="253"/>
      <c r="AQ17" s="253"/>
    </row>
    <row r="18" spans="1:67" ht="15" customHeight="1" thickBot="1" x14ac:dyDescent="0.3">
      <c r="G18" s="237"/>
      <c r="H18" s="530"/>
      <c r="I18" s="596"/>
      <c r="J18" s="597"/>
      <c r="L18" s="530"/>
      <c r="M18" s="596"/>
      <c r="N18" s="597"/>
      <c r="P18" s="530"/>
      <c r="Q18" s="596"/>
      <c r="R18" s="597"/>
      <c r="S18" s="598" t="str">
        <f>IF(ISERROR(VLOOKUP(T19,$X$32:$X$70,1,FALSE))=FALSE,"X",IF(ISERROR(VLOOKUP(T19,$Y$32:$Y$70,1,FALSE))=FALSE,"X",IF(ISERROR(VLOOKUP(T19,$Z$32:$Z$70,1,FALSE))=FALSE,"X","")))</f>
        <v/>
      </c>
      <c r="T18" s="251" t="s">
        <v>71</v>
      </c>
      <c r="U18" s="248" t="s">
        <v>66</v>
      </c>
      <c r="W18" s="237"/>
      <c r="X18" s="237"/>
      <c r="Y18" s="237"/>
      <c r="AA18" s="593"/>
      <c r="AF18" s="39"/>
      <c r="AG18" s="257"/>
      <c r="AH18" s="257"/>
      <c r="AI18" s="257"/>
      <c r="AJ18" s="257"/>
      <c r="AK18" s="257"/>
      <c r="AL18" s="257"/>
    </row>
    <row r="19" spans="1:67" ht="6" customHeight="1" thickBot="1" x14ac:dyDescent="0.3">
      <c r="G19" s="237"/>
      <c r="H19" s="237"/>
      <c r="I19" s="237"/>
      <c r="J19" s="237"/>
      <c r="K19" s="237"/>
      <c r="L19" s="237"/>
      <c r="M19" s="237"/>
      <c r="N19" s="237"/>
      <c r="O19" s="237"/>
      <c r="P19" s="237"/>
      <c r="Q19" s="237"/>
      <c r="R19" s="237"/>
      <c r="S19" s="598"/>
      <c r="T19" s="258" t="s">
        <v>74</v>
      </c>
      <c r="U19" s="256" t="s">
        <v>73</v>
      </c>
      <c r="V19" s="257"/>
      <c r="W19" s="237"/>
      <c r="X19" s="237"/>
      <c r="Y19" s="237"/>
      <c r="AF19" s="257"/>
    </row>
    <row r="20" spans="1:67" ht="15.75" customHeight="1" thickBot="1" x14ac:dyDescent="0.3">
      <c r="F20" s="53"/>
      <c r="G20" s="237"/>
      <c r="H20" s="589" t="s">
        <v>44</v>
      </c>
      <c r="I20" s="590"/>
      <c r="J20" s="591"/>
      <c r="L20" s="589" t="s">
        <v>44</v>
      </c>
      <c r="M20" s="590"/>
      <c r="N20" s="591"/>
      <c r="P20" s="589" t="s">
        <v>44</v>
      </c>
      <c r="Q20" s="590"/>
      <c r="R20" s="591"/>
      <c r="S20" s="39"/>
      <c r="T20" s="39"/>
      <c r="U20" s="39"/>
    </row>
    <row r="21" spans="1:67" ht="15" customHeight="1" x14ac:dyDescent="0.25">
      <c r="G21" s="237"/>
      <c r="H21" s="587" t="s">
        <v>37</v>
      </c>
      <c r="I21" s="588"/>
      <c r="J21" s="65"/>
      <c r="L21" s="587" t="s">
        <v>37</v>
      </c>
      <c r="M21" s="588"/>
      <c r="N21" s="65"/>
      <c r="P21" s="587" t="s">
        <v>37</v>
      </c>
      <c r="Q21" s="588"/>
      <c r="R21" s="65"/>
      <c r="S21" s="39"/>
      <c r="T21" s="39"/>
      <c r="U21" s="39"/>
      <c r="V21" s="39" t="str">
        <f>IF(AND(J21&lt;&gt;"",I17=""),T12,IF(AND(I17&lt;&gt;"",OR(J21=0,J21="")),"err",IF(AND(N21&lt;&gt;"",M17=""),T13,IF(AND(M17&lt;&gt;"",OR(N21=0,N21="")),"err",IF(AND(R21&lt;&gt;"",Q17=""),T14,IF(AND(Q17&lt;&gt;"",OR(R21=0,R21="")),"err",""))))))</f>
        <v/>
      </c>
      <c r="X21" s="527" t="s">
        <v>196</v>
      </c>
      <c r="Y21" s="528"/>
      <c r="Z21" s="573"/>
      <c r="AA21" s="259" t="str">
        <f>IF(AND(J21&lt;&gt;"",I17=""),U12,IF(AND(I17&lt;&gt;"",OR(J21=0,J21="")),"saisir le rendement situation de départ",IF(AND(N21&lt;&gt;"",M17=""),U13,IF(AND(M17&lt;&gt;"",OR(N21=0,N21="")),"saisir le rendement situation 1",IF(AND(R21&lt;&gt;"",Q17=""),U14,IF(AND(Q17&lt;&gt;"",OR(R21=0,R21="")),"saisir le rendement situation 2",""))))))</f>
        <v/>
      </c>
      <c r="AS21" s="260"/>
      <c r="AT21" s="260"/>
    </row>
    <row r="22" spans="1:67" ht="15.75" customHeight="1" thickBot="1" x14ac:dyDescent="0.3">
      <c r="H22" s="587" t="s">
        <v>38</v>
      </c>
      <c r="I22" s="588"/>
      <c r="J22" s="188"/>
      <c r="L22" s="587" t="s">
        <v>38</v>
      </c>
      <c r="M22" s="588"/>
      <c r="N22" s="188"/>
      <c r="P22" s="587" t="s">
        <v>38</v>
      </c>
      <c r="Q22" s="588"/>
      <c r="R22" s="188"/>
      <c r="X22" s="530"/>
      <c r="Y22" s="531"/>
      <c r="Z22" s="575"/>
      <c r="AA22" s="53"/>
      <c r="AB22" s="261"/>
      <c r="AC22" s="262"/>
      <c r="AD22" s="262"/>
      <c r="AE22" s="263"/>
      <c r="AF22" s="263"/>
      <c r="AG22" s="263"/>
      <c r="AH22" s="263"/>
      <c r="AI22" s="263"/>
      <c r="AJ22" s="263"/>
      <c r="AK22" s="263"/>
      <c r="AL22" s="263"/>
      <c r="AM22" s="263"/>
      <c r="AN22" s="263"/>
      <c r="AO22" s="263"/>
      <c r="AP22" s="263"/>
      <c r="AQ22" s="263"/>
      <c r="AR22" s="263"/>
      <c r="AS22" s="264"/>
      <c r="AT22" s="264"/>
      <c r="AU22" s="263"/>
      <c r="AV22" s="263"/>
      <c r="AW22" s="263"/>
      <c r="AX22" s="263"/>
    </row>
    <row r="23" spans="1:67" s="260" customFormat="1" ht="15" customHeight="1" thickBot="1" x14ac:dyDescent="0.3">
      <c r="A23" s="237"/>
      <c r="F23" s="265"/>
      <c r="G23" s="265"/>
      <c r="H23" s="604" t="s">
        <v>39</v>
      </c>
      <c r="I23" s="605"/>
      <c r="J23" s="189"/>
      <c r="K23" s="39"/>
      <c r="L23" s="604" t="s">
        <v>39</v>
      </c>
      <c r="M23" s="605"/>
      <c r="N23" s="189"/>
      <c r="O23" s="39"/>
      <c r="P23" s="604" t="s">
        <v>39</v>
      </c>
      <c r="Q23" s="605"/>
      <c r="R23" s="189"/>
      <c r="S23" s="266"/>
      <c r="T23" s="266"/>
      <c r="U23" s="266"/>
      <c r="V23" s="267"/>
      <c r="W23" s="39"/>
      <c r="X23" s="608">
        <f>I17</f>
        <v>0</v>
      </c>
      <c r="Y23" s="611">
        <f>M17</f>
        <v>0</v>
      </c>
      <c r="Z23" s="614">
        <f>Q17</f>
        <v>0</v>
      </c>
      <c r="AA23" s="268"/>
      <c r="AB23" s="269"/>
      <c r="AC23" s="264"/>
      <c r="AD23" s="264"/>
      <c r="AE23" s="264"/>
      <c r="AF23" s="264"/>
      <c r="AG23" s="264"/>
      <c r="AH23" s="264"/>
      <c r="AI23" s="264"/>
      <c r="AJ23" s="264"/>
      <c r="AK23" s="264"/>
      <c r="AL23" s="264"/>
      <c r="AM23" s="264"/>
      <c r="AN23" s="264"/>
      <c r="AO23" s="264"/>
      <c r="AP23" s="264"/>
      <c r="AQ23" s="264"/>
      <c r="AR23" s="264"/>
      <c r="AS23" s="264"/>
      <c r="AT23" s="264"/>
      <c r="AU23" s="264"/>
      <c r="AV23" s="264"/>
      <c r="AW23" s="264"/>
      <c r="AX23" s="264"/>
    </row>
    <row r="24" spans="1:67" s="260" customFormat="1" ht="6" customHeight="1" thickBot="1" x14ac:dyDescent="0.3">
      <c r="A24" s="237"/>
      <c r="F24" s="265"/>
      <c r="G24" s="265"/>
      <c r="S24" s="266"/>
      <c r="T24" s="266"/>
      <c r="U24" s="266"/>
      <c r="V24" s="267"/>
      <c r="W24" s="39"/>
      <c r="X24" s="609"/>
      <c r="Y24" s="612"/>
      <c r="Z24" s="615"/>
      <c r="AA24" s="268"/>
      <c r="AB24" s="269"/>
      <c r="AC24" s="264"/>
      <c r="AD24" s="264"/>
      <c r="AE24" s="264"/>
      <c r="AF24" s="264"/>
      <c r="AG24" s="264"/>
      <c r="AH24" s="264"/>
      <c r="AI24" s="264"/>
      <c r="AJ24" s="264"/>
      <c r="AK24" s="264"/>
      <c r="AL24" s="264"/>
      <c r="AM24" s="264"/>
      <c r="AN24" s="264"/>
      <c r="AO24" s="264"/>
      <c r="AP24" s="264"/>
      <c r="AQ24" s="264"/>
      <c r="AR24" s="264"/>
      <c r="AS24" s="264"/>
      <c r="AT24" s="264"/>
      <c r="AU24" s="264"/>
      <c r="AV24" s="264"/>
      <c r="AW24" s="264"/>
      <c r="AX24" s="264"/>
    </row>
    <row r="25" spans="1:67" s="260" customFormat="1" ht="15" customHeight="1" x14ac:dyDescent="0.25">
      <c r="A25" s="237"/>
      <c r="C25" s="527"/>
      <c r="D25" s="528"/>
      <c r="E25" s="569" t="s">
        <v>26</v>
      </c>
      <c r="F25" s="528" t="s">
        <v>2</v>
      </c>
      <c r="G25" s="573" t="s">
        <v>23</v>
      </c>
      <c r="H25" s="576" t="s">
        <v>22</v>
      </c>
      <c r="I25" s="579" t="s">
        <v>24</v>
      </c>
      <c r="J25" s="557" t="s">
        <v>195</v>
      </c>
      <c r="K25" s="39"/>
      <c r="L25" s="576" t="s">
        <v>22</v>
      </c>
      <c r="M25" s="579" t="s">
        <v>24</v>
      </c>
      <c r="N25" s="557" t="s">
        <v>195</v>
      </c>
      <c r="O25" s="39"/>
      <c r="P25" s="576" t="s">
        <v>22</v>
      </c>
      <c r="Q25" s="579" t="s">
        <v>24</v>
      </c>
      <c r="R25" s="557" t="s">
        <v>195</v>
      </c>
      <c r="S25" s="270" t="s">
        <v>75</v>
      </c>
      <c r="T25" s="271"/>
      <c r="U25" s="272" t="str">
        <f>IF(SUM(S32:U70)=0,"",IF(AND(ISERROR(VLOOKUP("err",V21:$V$70,1,FALSE)),OR(J21&lt;&gt;"",J21=0)),"ok","/!\"))</f>
        <v/>
      </c>
      <c r="W25" s="39"/>
      <c r="X25" s="609"/>
      <c r="Y25" s="612"/>
      <c r="Z25" s="615"/>
      <c r="AA25" s="268"/>
      <c r="AB25" s="269"/>
      <c r="AC25" s="264"/>
      <c r="AD25" s="264"/>
      <c r="AE25" s="264"/>
      <c r="AF25" s="264"/>
      <c r="AG25" s="264"/>
      <c r="AH25" s="264"/>
      <c r="AI25" s="264"/>
      <c r="AJ25" s="264"/>
      <c r="AK25" s="264"/>
      <c r="AL25" s="264"/>
      <c r="AM25" s="264"/>
      <c r="AN25" s="264"/>
      <c r="AO25" s="264"/>
      <c r="AP25" s="264"/>
      <c r="AQ25" s="264"/>
      <c r="AR25" s="264"/>
      <c r="AS25" s="264"/>
      <c r="AT25" s="264"/>
      <c r="AU25" s="264"/>
      <c r="AV25" s="264"/>
      <c r="AW25" s="264"/>
      <c r="AX25" s="264"/>
    </row>
    <row r="26" spans="1:67" s="260" customFormat="1" ht="15" customHeight="1" x14ac:dyDescent="0.25">
      <c r="A26" s="237"/>
      <c r="C26" s="539"/>
      <c r="D26" s="570"/>
      <c r="E26" s="571"/>
      <c r="F26" s="570"/>
      <c r="G26" s="574"/>
      <c r="H26" s="577"/>
      <c r="I26" s="580"/>
      <c r="J26" s="558"/>
      <c r="K26" s="39"/>
      <c r="L26" s="577"/>
      <c r="M26" s="580"/>
      <c r="N26" s="558"/>
      <c r="O26" s="39"/>
      <c r="P26" s="577"/>
      <c r="Q26" s="580"/>
      <c r="R26" s="558"/>
      <c r="S26" s="266"/>
      <c r="T26" s="266"/>
      <c r="U26" s="266"/>
      <c r="V26" s="267"/>
      <c r="W26" s="39"/>
      <c r="X26" s="609"/>
      <c r="Y26" s="612"/>
      <c r="Z26" s="615"/>
      <c r="AA26" s="268"/>
      <c r="AB26" s="269"/>
      <c r="AC26" s="264"/>
      <c r="AD26" s="264"/>
      <c r="AE26" s="264"/>
      <c r="AF26" s="264"/>
      <c r="AG26" s="264"/>
      <c r="AH26" s="264"/>
      <c r="AI26" s="264"/>
      <c r="AJ26" s="264"/>
      <c r="AK26" s="264"/>
      <c r="AL26" s="617" t="str">
        <f>IF($I$17="","",$I$17)</f>
        <v/>
      </c>
      <c r="AM26" s="617"/>
      <c r="AN26" s="617"/>
      <c r="AO26" s="617"/>
      <c r="AP26" s="617"/>
      <c r="AQ26" s="617"/>
      <c r="AR26" s="617"/>
      <c r="AS26" s="617"/>
      <c r="AT26" s="264"/>
      <c r="AU26" s="264"/>
      <c r="AV26" s="264"/>
      <c r="AW26" s="264"/>
      <c r="AX26" s="264"/>
    </row>
    <row r="27" spans="1:67" s="260" customFormat="1" ht="15" customHeight="1" thickBot="1" x14ac:dyDescent="0.3">
      <c r="A27" s="237"/>
      <c r="C27" s="539"/>
      <c r="D27" s="570"/>
      <c r="E27" s="571"/>
      <c r="F27" s="570"/>
      <c r="G27" s="574"/>
      <c r="H27" s="577"/>
      <c r="I27" s="580"/>
      <c r="J27" s="558"/>
      <c r="K27" s="39"/>
      <c r="L27" s="577"/>
      <c r="M27" s="580"/>
      <c r="N27" s="558"/>
      <c r="O27" s="39"/>
      <c r="P27" s="577"/>
      <c r="Q27" s="580"/>
      <c r="R27" s="558"/>
      <c r="S27" s="266"/>
      <c r="T27" s="266"/>
      <c r="U27" s="266"/>
      <c r="V27" s="267"/>
      <c r="W27" s="39"/>
      <c r="X27" s="610"/>
      <c r="Y27" s="613"/>
      <c r="Z27" s="616"/>
      <c r="AA27" s="268"/>
      <c r="AB27" s="269"/>
      <c r="AC27" s="264"/>
      <c r="AD27" s="264"/>
      <c r="AE27" s="264"/>
      <c r="AF27" s="264"/>
      <c r="AG27" s="264"/>
      <c r="AH27" s="264"/>
      <c r="AI27" s="264"/>
      <c r="AJ27" s="264"/>
      <c r="AK27" s="264"/>
      <c r="AL27" s="617"/>
      <c r="AM27" s="617"/>
      <c r="AN27" s="617"/>
      <c r="AO27" s="617"/>
      <c r="AP27" s="617"/>
      <c r="AQ27" s="617"/>
      <c r="AR27" s="617"/>
      <c r="AS27" s="617"/>
      <c r="AT27" s="263"/>
      <c r="AU27" s="263"/>
      <c r="AV27" s="264"/>
      <c r="AW27" s="264"/>
      <c r="AX27" s="264"/>
    </row>
    <row r="28" spans="1:67" s="260" customFormat="1" ht="15" customHeight="1" x14ac:dyDescent="0.25">
      <c r="A28" s="237"/>
      <c r="C28" s="539"/>
      <c r="D28" s="570"/>
      <c r="E28" s="571"/>
      <c r="F28" s="570"/>
      <c r="G28" s="574"/>
      <c r="H28" s="577"/>
      <c r="I28" s="580"/>
      <c r="J28" s="558"/>
      <c r="K28" s="39"/>
      <c r="L28" s="577"/>
      <c r="M28" s="580"/>
      <c r="N28" s="558"/>
      <c r="O28" s="39"/>
      <c r="P28" s="577"/>
      <c r="Q28" s="580"/>
      <c r="R28" s="558"/>
      <c r="S28" s="266"/>
      <c r="T28" s="266"/>
      <c r="U28" s="266"/>
      <c r="V28" s="267"/>
      <c r="W28" s="39"/>
      <c r="X28" s="527" t="s">
        <v>1</v>
      </c>
      <c r="Y28" s="606" t="str">
        <f>X28</f>
        <v>€/ha</v>
      </c>
      <c r="Z28" s="573" t="str">
        <f>Y28</f>
        <v>€/ha</v>
      </c>
      <c r="AA28" s="268"/>
      <c r="AB28" s="269"/>
      <c r="AC28" s="264"/>
      <c r="AD28" s="264"/>
      <c r="AE28" s="264"/>
      <c r="AF28" s="264"/>
      <c r="AG28" s="264"/>
      <c r="AH28" s="264"/>
      <c r="AI28" s="264"/>
      <c r="AJ28" s="264"/>
      <c r="AK28" s="264"/>
      <c r="AL28" s="603" t="str">
        <f>IF(OR($I$17="",$J$21="",$J$21=0),"",CONCATENATE("(rdt moy = ",$J$21," T/ha)"))</f>
        <v/>
      </c>
      <c r="AM28" s="603"/>
      <c r="AN28" s="603"/>
      <c r="AO28" s="603"/>
      <c r="AP28" s="603"/>
      <c r="AQ28" s="603"/>
      <c r="AR28" s="603"/>
      <c r="AS28" s="603"/>
      <c r="AT28" s="264"/>
      <c r="AU28" s="264"/>
      <c r="AV28" s="264"/>
      <c r="AW28" s="264"/>
      <c r="AX28" s="264"/>
      <c r="BC28" s="273" t="s">
        <v>37</v>
      </c>
      <c r="BD28" s="274">
        <v>10</v>
      </c>
      <c r="BE28" s="274">
        <v>11</v>
      </c>
      <c r="BF28" s="275">
        <v>12</v>
      </c>
      <c r="BG28" s="276"/>
      <c r="BH28" s="276"/>
      <c r="BI28" s="276"/>
      <c r="BJ28" s="276"/>
      <c r="BK28" s="276"/>
      <c r="BL28" s="276"/>
      <c r="BM28" s="276"/>
      <c r="BN28" s="276"/>
      <c r="BO28" s="276"/>
    </row>
    <row r="29" spans="1:67" s="260" customFormat="1" ht="15" customHeight="1" thickBot="1" x14ac:dyDescent="0.3">
      <c r="A29" s="237"/>
      <c r="C29" s="530"/>
      <c r="D29" s="531"/>
      <c r="E29" s="572"/>
      <c r="F29" s="531"/>
      <c r="G29" s="575"/>
      <c r="H29" s="578"/>
      <c r="I29" s="581"/>
      <c r="J29" s="559"/>
      <c r="K29" s="39"/>
      <c r="L29" s="578"/>
      <c r="M29" s="581"/>
      <c r="N29" s="559"/>
      <c r="O29" s="39"/>
      <c r="P29" s="578"/>
      <c r="Q29" s="581"/>
      <c r="R29" s="559"/>
      <c r="S29" s="277"/>
      <c r="T29" s="277"/>
      <c r="U29" s="277"/>
      <c r="V29" s="277"/>
      <c r="W29" s="39"/>
      <c r="X29" s="530"/>
      <c r="Y29" s="607"/>
      <c r="Z29" s="575"/>
      <c r="AA29" s="278"/>
      <c r="AB29" s="269"/>
      <c r="AC29" s="264"/>
      <c r="AD29" s="264"/>
      <c r="AE29" s="264"/>
      <c r="AF29" s="264"/>
      <c r="AG29" s="264"/>
      <c r="AH29" s="264"/>
      <c r="AI29" s="264"/>
      <c r="AJ29" s="264"/>
      <c r="AK29" s="264"/>
      <c r="AL29" s="264"/>
      <c r="AM29" s="264"/>
      <c r="AN29" s="264"/>
      <c r="AO29" s="264"/>
      <c r="AP29" s="264"/>
      <c r="AQ29" s="264"/>
      <c r="AR29" s="264"/>
      <c r="AS29" s="264"/>
      <c r="AT29" s="264"/>
      <c r="AU29" s="264"/>
      <c r="AV29" s="264"/>
      <c r="AW29" s="264"/>
      <c r="AX29" s="264"/>
      <c r="BB29" s="237"/>
      <c r="BC29" s="279" t="s">
        <v>38</v>
      </c>
      <c r="BD29" s="280">
        <v>8</v>
      </c>
      <c r="BE29" s="280">
        <v>9</v>
      </c>
      <c r="BF29" s="281">
        <v>10</v>
      </c>
      <c r="BG29" s="282"/>
      <c r="BH29" s="282"/>
      <c r="BI29" s="282"/>
      <c r="BJ29" s="282"/>
      <c r="BK29" s="282"/>
      <c r="BL29" s="282"/>
      <c r="BM29" s="282"/>
      <c r="BN29" s="282"/>
      <c r="BO29" s="282"/>
    </row>
    <row r="30" spans="1:67" s="260" customFormat="1" ht="15" customHeight="1" x14ac:dyDescent="0.25">
      <c r="A30" s="237"/>
      <c r="C30" s="560" t="s">
        <v>93</v>
      </c>
      <c r="D30" s="561"/>
      <c r="E30" s="562"/>
      <c r="F30" s="283" t="s">
        <v>80</v>
      </c>
      <c r="G30" s="284" t="s">
        <v>27</v>
      </c>
      <c r="H30" s="285">
        <v>0.4</v>
      </c>
      <c r="I30" s="286">
        <v>300</v>
      </c>
      <c r="J30" s="287"/>
      <c r="K30" s="39"/>
      <c r="L30" s="285">
        <v>0.4</v>
      </c>
      <c r="M30" s="286">
        <v>500</v>
      </c>
      <c r="N30" s="288"/>
      <c r="O30" s="39"/>
      <c r="P30" s="285">
        <v>0.4</v>
      </c>
      <c r="Q30" s="289">
        <v>650</v>
      </c>
      <c r="R30" s="288"/>
      <c r="S30" s="290">
        <f>IF(AND(H30="",I30="",J30=""),"",IF(AND(OR(H30=0,H30=""),OR(I30=0,I30=""),OR(J30=0,J30="")),0,IF(AND(OR(H30=0,H30=""),OR(I30=0,I30=""),J30&lt;&gt;""),J30,IF(AND(AND(H30&lt;&gt;"",H30&lt;&gt;0),AND(I30&lt;&gt;"",I30&lt;&gt;0),OR(J30="",J30=0)),H30*I30,IF(AND(OR(H30&gt;0,I30&gt;0),J30&gt;0),"/1\"," /2\ ")))))</f>
        <v>120</v>
      </c>
      <c r="T30" s="290">
        <f>IF(AND(L30="",M30="",N30=""),"",IF(AND(OR(L30=0,L30=""),OR(M30=0,M30=""),OR(N30=0,N30="")),0,IF(AND(OR(L30=0,L30=""),OR(M30=0,M30=""),N30&lt;&gt;""),N30,IF(AND(AND(L30&lt;&gt;"",L30&lt;&gt;0),AND(M30&lt;&gt;"",M30&lt;&gt;0),OR(N30="",N30=0)),L30*M30,IF(AND(OR(L30&gt;0,M30&gt;0),N30&gt;0),"/1\"," /2\ ")))))</f>
        <v>200</v>
      </c>
      <c r="U30" s="290">
        <f>IF(AND(P30="",Q30="",R30=""),"",IF(AND(OR(P30=0,P30=""),OR(Q30=0,Q30=""),OR(R30=0,R30="")),0,IF(AND(OR(P30=0,P30=""),OR(Q30=0,Q30=""),R30&lt;&gt;""),R30,IF(AND(AND(P30&lt;&gt;"",P30&lt;&gt;0),AND(Q30&lt;&gt;"",Q30&lt;&gt;0),OR(R30="",R30=0)),P30*Q30,IF(AND(OR(P30&gt;0,Q30&gt;0),R30&gt;0),"/1\"," /2\ ")))))</f>
        <v>260</v>
      </c>
      <c r="V30" s="290" t="str">
        <f>IF(AND(ISERROR(SEARCH("/",X30,1)),ISERROR(SEARCH("/",Y30,1)),ISERROR(SEARCH("/",Z30,1))),"ok","err")</f>
        <v>ok</v>
      </c>
      <c r="W30" s="39"/>
      <c r="X30" s="291">
        <f t="shared" ref="X30" si="0">IF(OR(S30="",S30=0),"",IF(AND(OR(S30&lt;&gt;"",S30&lt;&gt;0),T30="",U30=""),"  /3\  ",IF(AND(OR(T30&lt;&gt;"",U30&lt;&gt;""),S30=""),"   /4\   ",S30)))</f>
        <v>120</v>
      </c>
      <c r="Y30" s="292">
        <f t="shared" ref="Y30" si="1">IF(OR(T30="",T30=0),"",IF(AND(OR(S30&lt;&gt;"",S30&lt;&gt;0),T30="",U30=""),"  /3\  ",IF(AND(OR(T30&lt;&gt;"",U30&lt;&gt;""),S30=""),"   /4\   ",T30)))</f>
        <v>200</v>
      </c>
      <c r="Z30" s="293">
        <f t="shared" ref="Z30" si="2">IF(OR(U30="",U30=0),"",IF(AND(OR(S30&lt;&gt;"",S30&lt;&gt;0),T30="",U30=""),"  /3\  ",IF(AND(OR(T30&lt;&gt;"",U30&lt;&gt;""),S30=""),"   /4\   ",U30)))</f>
        <v>260</v>
      </c>
      <c r="AA30" s="278"/>
      <c r="AB30" s="269"/>
      <c r="AC30" s="264"/>
      <c r="AD30" s="264"/>
      <c r="AE30" s="264"/>
      <c r="AF30" s="264"/>
      <c r="AG30" s="264"/>
      <c r="AH30" s="264"/>
      <c r="AI30" s="264"/>
      <c r="AJ30" s="264"/>
      <c r="AK30" s="264"/>
      <c r="AL30" s="264"/>
      <c r="AM30" s="264"/>
      <c r="AN30" s="264"/>
      <c r="AO30" s="264"/>
      <c r="AP30" s="264"/>
      <c r="AQ30" s="526" t="str">
        <f>IF(OR(J21="",J21=0),"Variation des charges",IF(N13&lt;&gt;"ok","Variation des charges",IF(W159="","Variation des charges",IF(W159&gt;0,CONCATENATE("Vos charges ont augmenté de ",IF(ROUND(W159,0)&lt;10,ROUND(W159,1),ROUND(W159,0))," €/t"),IF(W159&lt;0,CONCATENATE("Vos charges ont diminué de ",IF(ROUND(-W159,0)&lt;10,ROUND(-W159,1),ROUND(-W159,0))," €/t"),"Vos charges sont au même niveau")))))</f>
        <v>Variation des charges</v>
      </c>
      <c r="AR30" s="526"/>
      <c r="AS30" s="526"/>
      <c r="AT30" s="526"/>
      <c r="AU30" s="526"/>
      <c r="AV30" s="526"/>
      <c r="AW30" s="526"/>
      <c r="AX30" s="264"/>
      <c r="BB30" s="237"/>
      <c r="BC30" s="294" t="s">
        <v>39</v>
      </c>
      <c r="BD30" s="295">
        <v>12</v>
      </c>
      <c r="BE30" s="295">
        <v>13</v>
      </c>
      <c r="BF30" s="296">
        <v>14</v>
      </c>
      <c r="BG30" s="282"/>
      <c r="BH30" s="282"/>
      <c r="BI30" s="282"/>
      <c r="BJ30" s="282"/>
      <c r="BK30" s="282"/>
      <c r="BL30" s="282"/>
      <c r="BM30" s="282"/>
      <c r="BN30" s="282"/>
      <c r="BO30" s="282"/>
    </row>
    <row r="31" spans="1:67" s="260" customFormat="1" ht="6" customHeight="1" thickBot="1" x14ac:dyDescent="0.3">
      <c r="A31" s="237"/>
      <c r="K31" s="39"/>
      <c r="O31" s="39"/>
      <c r="W31" s="39"/>
      <c r="AB31" s="269"/>
      <c r="AC31" s="264"/>
      <c r="AD31" s="264"/>
      <c r="AE31" s="264"/>
      <c r="AF31" s="264"/>
      <c r="AG31" s="264"/>
      <c r="AH31" s="264"/>
      <c r="AI31" s="264"/>
      <c r="AJ31" s="264"/>
      <c r="AK31" s="264"/>
      <c r="AL31" s="264"/>
      <c r="AM31" s="264"/>
      <c r="AN31" s="264"/>
      <c r="AO31" s="264"/>
      <c r="AP31" s="264"/>
      <c r="AQ31" s="526"/>
      <c r="AR31" s="526"/>
      <c r="AS31" s="526"/>
      <c r="AT31" s="526"/>
      <c r="AU31" s="526"/>
      <c r="AV31" s="526"/>
      <c r="AW31" s="526"/>
      <c r="AX31" s="264"/>
      <c r="BB31" s="237"/>
      <c r="BC31" s="282"/>
      <c r="BD31" s="282"/>
      <c r="BE31" s="282"/>
      <c r="BF31" s="282"/>
      <c r="BG31" s="282"/>
      <c r="BH31" s="282"/>
      <c r="BI31" s="282"/>
      <c r="BJ31" s="282"/>
      <c r="BK31" s="282"/>
      <c r="BL31" s="282"/>
      <c r="BM31" s="282"/>
      <c r="BN31" s="282"/>
      <c r="BO31" s="282"/>
    </row>
    <row r="32" spans="1:67" s="260" customFormat="1" ht="15" customHeight="1" x14ac:dyDescent="0.25">
      <c r="A32" s="237"/>
      <c r="B32" s="543" t="s">
        <v>78</v>
      </c>
      <c r="C32" s="586" t="s">
        <v>46</v>
      </c>
      <c r="D32" s="297" t="s">
        <v>87</v>
      </c>
      <c r="E32" s="298" t="s">
        <v>3</v>
      </c>
      <c r="F32" s="72"/>
      <c r="G32" s="6"/>
      <c r="H32" s="12"/>
      <c r="I32" s="13"/>
      <c r="J32" s="24"/>
      <c r="K32" s="39"/>
      <c r="L32" s="12"/>
      <c r="M32" s="13"/>
      <c r="N32" s="30"/>
      <c r="O32" s="39"/>
      <c r="P32" s="12"/>
      <c r="Q32" s="13"/>
      <c r="R32" s="30"/>
      <c r="S32" s="267" t="str">
        <f>IF(AND(H32="",I32="",J32=""),"",IF($I$17="","/0\",IF(AND(OR(H32=0,H32=""),OR(I32=0,I32=""),OR(J32=0,J32="")),0,IF(AND(OR(H32=0,H32=""),OR(I32=0,I32=""),J32&lt;&gt;""),J32,IF(AND(AND(H32&lt;&gt;"",H32&lt;&gt;0),AND(I32&lt;&gt;"",I32&lt;&gt;0),OR(J32="",J32=0)),H32*I32,IF(AND(OR(H32&gt;0,I32&gt;0),J32&gt;0),"/1\"," /2\ "))))))</f>
        <v/>
      </c>
      <c r="T32" s="267" t="str">
        <f>IF(AND(L32="",M32="",N32=""),"",IF($M$17="","/0'\",IF(AND(OR(L32=0,L32=""),OR(M32=0,M32=""),OR(N32=0,N32="")),0,IF(AND(OR(L32=0,L32=""),OR(M32=0,M32=""),N32&lt;&gt;""),N32,IF(AND(AND(L32&lt;&gt;"",L32&lt;&gt;0),AND(M32&lt;&gt;"",M32&lt;&gt;0),OR(N32="",N32=0)),L32*M32,IF(AND(OR(L32&gt;0,M32&gt;0),N32&gt;0),"/1\"," /2\ "))))))</f>
        <v/>
      </c>
      <c r="U32" s="267" t="str">
        <f>IF(AND(P32="",Q32="",R32=""),"",IF($Q$17="","/0''\",IF(AND(OR(P32=0,P32=""),OR(Q32=0,Q32=""),OR(R32=0,R32="")),0,IF(AND(OR(P32=0,P32=""),OR(Q32=0,Q32=""),R32&lt;&gt;""),R32,IF(AND(AND(P32&lt;&gt;"",P32&lt;&gt;0),AND(Q32&lt;&gt;"",Q32&lt;&gt;0),OR(R32="",R32=0)),P32*Q32,IF(AND(OR(P32&gt;0,Q32&gt;0),R32&gt;0),"/1\"," /2\ "))))))</f>
        <v/>
      </c>
      <c r="V32" s="267" t="str">
        <f>IF(AND(ISERROR(SEARCH("/",X32,1)),ISERROR(SEARCH("/",Y32,1)),ISERROR(SEARCH("/",Z32,1))),"ok","err")</f>
        <v>ok</v>
      </c>
      <c r="W32" s="39"/>
      <c r="X32" s="299" t="str">
        <f>IF(OR(S32="",S32=""),"",IF(AND(OR(S32&lt;&gt;"",S32&lt;&gt;0),T32="",U32=""),"  /3\  ",IF(AND(OR(T32&lt;&gt;"",U32&lt;&gt;""),S32=""),"   /4\   ",S32)))</f>
        <v/>
      </c>
      <c r="Y32" s="300" t="str">
        <f>IF(OR(T32="",T32=""),"",IF(AND(OR(S32&lt;&gt;"",S32&lt;&gt;0),T32="",U32=""),"  /3\  ",IF(AND(OR(T32&lt;&gt;"",U32&lt;&gt;""),S32=""),"   /4\   ",T32)))</f>
        <v/>
      </c>
      <c r="Z32" s="301" t="str">
        <f>IF(OR(U32="",U32=""),"",IF(AND(OR(S32&lt;&gt;"",S32&lt;&gt;0),T32="",U32=""),"  /3\  ",IF(AND(OR(T32&lt;&gt;"",U32&lt;&gt;""),S32=""),"   /4\   ",U32)))</f>
        <v/>
      </c>
      <c r="AA32" s="302" t="str">
        <f>IF(ISERROR(HLOOKUP($T$12,X32:Z32,1,FALSE))=FALSE,VLOOKUP($T$12,$T$12:$U$19,2,FALSE),IF(ISERROR(HLOOKUP($T$13,X32:Z32,1,FALSE))=FALSE,VLOOKUP($T$13,$T$12:$U$19,2,FALSE),IF(ISERROR(HLOOKUP($T$14,X32:Z32,1,FALSE))=FALSE,VLOOKUP($T$14,$T$12:$U$19,2,FALSE),IF(ISERROR(HLOOKUP($T$15,X32:Z32,1,FALSE))=FALSE,VLOOKUP($T$15,$T$12:$U$19,2,FALSE),IF(ISERROR(HLOOKUP($T$16,X32:Z32,1,FALSE))=FALSE,VLOOKUP($T$16,$T$12:$U$19,2,FALSE),IF(ISERROR(HLOOKUP($T$17,X32:Z32,1,FALSE))=FALSE,VLOOKUP($T$17,$T$12:$U$19,2,FALSE),IF(ISERROR(HLOOKUP($T$18,X32:Z32,1,FALSE))=FALSE,VLOOKUP($T$18,$T$12:$U$19,2,FALSE),IF(ISERROR(HLOOKUP($T$19,X32:Z32,1,FALSE))=FALSE,VLOOKUP($T$19,$T$12:$U$19,2,FALSE),""))))))))</f>
        <v/>
      </c>
      <c r="AB32" s="269"/>
      <c r="AC32" s="264"/>
      <c r="AD32" s="264"/>
      <c r="AE32" s="264"/>
      <c r="AF32" s="264"/>
      <c r="AG32" s="264"/>
      <c r="AH32" s="264"/>
      <c r="AI32" s="264"/>
      <c r="AJ32" s="264"/>
      <c r="AK32" s="264"/>
      <c r="AL32" s="264"/>
      <c r="AM32" s="264"/>
      <c r="AN32" s="264"/>
      <c r="AO32" s="264"/>
      <c r="AP32" s="264"/>
      <c r="AQ32" s="526"/>
      <c r="AR32" s="526"/>
      <c r="AS32" s="526"/>
      <c r="AT32" s="526"/>
      <c r="AU32" s="526"/>
      <c r="AV32" s="526"/>
      <c r="AW32" s="526"/>
      <c r="AX32" s="264"/>
      <c r="BB32" s="237"/>
      <c r="BC32" s="303" t="s">
        <v>15</v>
      </c>
      <c r="BD32" s="304">
        <f>J32</f>
        <v>0</v>
      </c>
      <c r="BE32" s="305">
        <f>N32</f>
        <v>0</v>
      </c>
      <c r="BF32" s="306">
        <f>R32</f>
        <v>0</v>
      </c>
      <c r="BG32" s="304">
        <f t="shared" ref="BG32:BG44" si="3">BD32/BD$28</f>
        <v>0</v>
      </c>
      <c r="BH32" s="305">
        <f t="shared" ref="BH32:BH44" si="4">BE32/BE$28</f>
        <v>0</v>
      </c>
      <c r="BI32" s="306">
        <f t="shared" ref="BI32:BI44" si="5">BF32/BF$28</f>
        <v>0</v>
      </c>
      <c r="BJ32" s="304">
        <f t="shared" ref="BJ32:BJ44" si="6">BD32/BD$29</f>
        <v>0</v>
      </c>
      <c r="BK32" s="305">
        <f t="shared" ref="BK32:BK44" si="7">BE32/BE$29</f>
        <v>0</v>
      </c>
      <c r="BL32" s="306">
        <f t="shared" ref="BL32:BL44" si="8">BF32/BF$29</f>
        <v>0</v>
      </c>
      <c r="BM32" s="304">
        <f t="shared" ref="BM32:BM44" si="9">BD32/BD$30</f>
        <v>0</v>
      </c>
      <c r="BN32" s="305">
        <f t="shared" ref="BN32:BN44" si="10">BE32/BE$30</f>
        <v>0</v>
      </c>
      <c r="BO32" s="306">
        <f t="shared" ref="BO32:BO44" si="11">BF32/BF$30</f>
        <v>0</v>
      </c>
    </row>
    <row r="33" spans="2:67" ht="15" customHeight="1" x14ac:dyDescent="0.25">
      <c r="B33" s="544"/>
      <c r="C33" s="539"/>
      <c r="D33" s="551" t="s">
        <v>90</v>
      </c>
      <c r="E33" s="307" t="s">
        <v>178</v>
      </c>
      <c r="F33" s="73"/>
      <c r="G33" s="7"/>
      <c r="H33" s="14"/>
      <c r="I33" s="15"/>
      <c r="J33" s="25"/>
      <c r="L33" s="14"/>
      <c r="M33" s="15"/>
      <c r="N33" s="25"/>
      <c r="P33" s="14"/>
      <c r="Q33" s="15"/>
      <c r="R33" s="25"/>
      <c r="S33" s="267" t="str">
        <f>IF(AND(H33="",I33="",J33=""),"",IF($I$17="","/0\",IF(AND(OR(H33=0,H33=""),OR(I33=0,I33=""),OR(J33=0,J33="")),0,IF(AND(OR(H33=0,H33=""),OR(I33=0,I33=""),J33&lt;&gt;""),J33,IF(AND(AND(H33&lt;&gt;"",H33&lt;&gt;0),AND(I33&lt;&gt;"",I33&lt;&gt;0),OR(J33="",J33=0)),H33*I33,IF(AND(OR(H33&gt;0,I33&gt;0),J33&gt;0),"/1\"," /2\ "))))))</f>
        <v/>
      </c>
      <c r="T33" s="267" t="str">
        <f>IF(AND(L33="",M33="",N33=""),"",IF($M$17="","/0'\",IF(AND(OR(L33=0,L33=""),OR(M33=0,M33=""),OR(N33=0,N33="")),0,IF(AND(OR(L33=0,L33=""),OR(M33=0,M33=""),N33&lt;&gt;""),N33,IF(AND(AND(L33&lt;&gt;"",L33&lt;&gt;0),AND(M33&lt;&gt;"",M33&lt;&gt;0),OR(N33="",N33=0)),L33*M33,IF(AND(OR(L33&gt;0,M33&gt;0),N33&gt;0),"/1\"," /2\ "))))))</f>
        <v/>
      </c>
      <c r="U33" s="267" t="str">
        <f>IF(AND(P33="",Q33="",R33=""),"",IF($Q$17="","/0''\",IF(AND(OR(P33=0,P33=""),OR(Q33=0,Q33=""),OR(R33=0,R33="")),0,IF(AND(OR(P33=0,P33=""),OR(Q33=0,Q33=""),R33&lt;&gt;""),R33,IF(AND(AND(P33&lt;&gt;"",P33&lt;&gt;0),AND(Q33&lt;&gt;"",Q33&lt;&gt;0),OR(R33="",R33=0)),P33*Q33,IF(AND(OR(P33&gt;0,Q33&gt;0),R33&gt;0),"/1\"," /2\ "))))))</f>
        <v/>
      </c>
      <c r="V33" s="267" t="str">
        <f t="shared" ref="V33:V63" si="12">IF(AND(ISERROR(SEARCH("/",X33,1)),ISERROR(SEARCH("/",Y33,1)),ISERROR(SEARCH("/",Z33,1))),"ok","err")</f>
        <v>ok</v>
      </c>
      <c r="X33" s="308" t="str">
        <f t="shared" ref="X33:X54" si="13">IF(OR(S33="",S33=""),"",IF(AND(OR(S33&lt;&gt;"",S33&lt;&gt;0),T33="",U33=""),"  /3\  ",IF(AND(OR(T33&lt;&gt;"",U33&lt;&gt;""),S33=""),"   /4\   ",S33)))</f>
        <v/>
      </c>
      <c r="Y33" s="309" t="str">
        <f t="shared" ref="Y33:Y54" si="14">IF(OR(T33="",T33=""),"",IF(AND(OR(S33&lt;&gt;"",S33&lt;&gt;0),T33="",U33=""),"  /3\  ",IF(AND(OR(T33&lt;&gt;"",U33&lt;&gt;""),S33=""),"   /4\   ",T33)))</f>
        <v/>
      </c>
      <c r="Z33" s="310" t="str">
        <f t="shared" ref="Z33:Z54" si="15">IF(OR(U33="",U33=""),"",IF(AND(OR(S33&lt;&gt;"",S33&lt;&gt;0),T33="",U33=""),"  /3\  ",IF(AND(OR(T33&lt;&gt;"",U33&lt;&gt;""),S33=""),"   /4\   ",U33)))</f>
        <v/>
      </c>
      <c r="AA33" s="302" t="str">
        <f t="shared" ref="AA33:AA42" si="16">IF(ISERROR(HLOOKUP($T$12,X33:Z33,1,FALSE))=FALSE,VLOOKUP($T$12,$T$12:$U$19,2,FALSE),IF(ISERROR(HLOOKUP($T$13,X33:Z33,1,FALSE))=FALSE,VLOOKUP($T$13,$T$12:$U$19,2,FALSE),IF(ISERROR(HLOOKUP($T$14,X33:Z33,1,FALSE))=FALSE,VLOOKUP($T$14,$T$12:$U$19,2,FALSE),IF(ISERROR(HLOOKUP($T$15,X33:Z33,1,FALSE))=FALSE,VLOOKUP($T$15,$T$12:$U$19,2,FALSE),IF(ISERROR(HLOOKUP($T$16,X33:Z33,1,FALSE))=FALSE,VLOOKUP($T$16,$T$12:$U$19,2,FALSE),IF(ISERROR(HLOOKUP($T$17,X33:Z33,1,FALSE))=FALSE,VLOOKUP($T$17,$T$12:$U$19,2,FALSE),IF(ISERROR(HLOOKUP($T$18,X33:Z33,1,FALSE))=FALSE,VLOOKUP($T$18,$T$12:$U$19,2,FALSE),IF(ISERROR(HLOOKUP($T$19,X33:Z33,1,FALSE))=FALSE,VLOOKUP($T$19,$T$12:$U$19,2,FALSE),""))))))))</f>
        <v/>
      </c>
      <c r="AB33" s="269"/>
      <c r="AC33" s="264"/>
      <c r="AD33" s="264"/>
      <c r="AE33" s="264"/>
      <c r="AF33" s="264"/>
      <c r="AG33" s="264"/>
      <c r="AH33" s="264"/>
      <c r="AI33" s="264"/>
      <c r="AJ33" s="263"/>
      <c r="AK33" s="263"/>
      <c r="AL33" s="263"/>
      <c r="AM33" s="263"/>
      <c r="AN33" s="263"/>
      <c r="AO33" s="263"/>
      <c r="AP33" s="263"/>
      <c r="AQ33" s="526"/>
      <c r="AR33" s="526"/>
      <c r="AS33" s="526"/>
      <c r="AT33" s="526"/>
      <c r="AU33" s="526"/>
      <c r="AV33" s="526"/>
      <c r="AW33" s="526"/>
      <c r="AX33" s="263"/>
      <c r="BC33" s="311" t="s">
        <v>13</v>
      </c>
      <c r="BD33" s="312">
        <f>SUMPRODUCT(H33:H41,I33:I41)+SUM(J33:J41)</f>
        <v>0</v>
      </c>
      <c r="BE33" s="313">
        <f>SUMPRODUCT(L33:L41,M33:M41)+SUM(N33:N41)</f>
        <v>0</v>
      </c>
      <c r="BF33" s="314">
        <f>SUMPRODUCT(P33:P41,Q33:Q41)+SUM(R33:R41)</f>
        <v>0</v>
      </c>
      <c r="BG33" s="312">
        <f t="shared" si="3"/>
        <v>0</v>
      </c>
      <c r="BH33" s="313">
        <f t="shared" si="4"/>
        <v>0</v>
      </c>
      <c r="BI33" s="314">
        <f t="shared" si="5"/>
        <v>0</v>
      </c>
      <c r="BJ33" s="312">
        <f t="shared" si="6"/>
        <v>0</v>
      </c>
      <c r="BK33" s="313">
        <f t="shared" si="7"/>
        <v>0</v>
      </c>
      <c r="BL33" s="314">
        <f t="shared" si="8"/>
        <v>0</v>
      </c>
      <c r="BM33" s="312">
        <f t="shared" si="9"/>
        <v>0</v>
      </c>
      <c r="BN33" s="313">
        <f t="shared" si="10"/>
        <v>0</v>
      </c>
      <c r="BO33" s="314">
        <f t="shared" si="11"/>
        <v>0</v>
      </c>
    </row>
    <row r="34" spans="2:67" ht="15" customHeight="1" x14ac:dyDescent="0.25">
      <c r="B34" s="544"/>
      <c r="C34" s="539"/>
      <c r="D34" s="552"/>
      <c r="E34" s="315" t="s">
        <v>179</v>
      </c>
      <c r="F34" s="71"/>
      <c r="G34" s="8"/>
      <c r="H34" s="16"/>
      <c r="I34" s="17"/>
      <c r="J34" s="26"/>
      <c r="L34" s="16"/>
      <c r="M34" s="17"/>
      <c r="N34" s="25"/>
      <c r="P34" s="16"/>
      <c r="Q34" s="17"/>
      <c r="R34" s="25"/>
      <c r="S34" s="267" t="str">
        <f t="shared" ref="S34:S37" si="17">IF(AND(H34="",I34="",J34=""),"",IF($I$17="","/0\",IF(AND(OR(H34=0,H34=""),OR(I34=0,I34=""),OR(J34=0,J34="")),0,IF(AND(OR(H34=0,H34=""),OR(I34=0,I34=""),J34&lt;&gt;""),J34,IF(AND(AND(H34&lt;&gt;"",H34&lt;&gt;0),AND(I34&lt;&gt;"",I34&lt;&gt;0),OR(J34="",J34=0)),H34*I34,IF(AND(OR(H34&gt;0,I34&gt;0),J34&gt;0),"/1\"," /2\ "))))))</f>
        <v/>
      </c>
      <c r="T34" s="267" t="str">
        <f t="shared" ref="T34:T37" si="18">IF(AND(L34="",M34="",N34=""),"",IF($M$17="","/0'\",IF(AND(OR(L34=0,L34=""),OR(M34=0,M34=""),OR(N34=0,N34="")),0,IF(AND(OR(L34=0,L34=""),OR(M34=0,M34=""),N34&lt;&gt;""),N34,IF(AND(AND(L34&lt;&gt;"",L34&lt;&gt;0),AND(M34&lt;&gt;"",M34&lt;&gt;0),OR(N34="",N34=0)),L34*M34,IF(AND(OR(L34&gt;0,M34&gt;0),N34&gt;0),"/1\"," /2\ "))))))</f>
        <v/>
      </c>
      <c r="U34" s="267" t="str">
        <f t="shared" ref="U34:U37" si="19">IF(AND(P34="",Q34="",R34=""),"",IF($Q$17="","/0''\",IF(AND(OR(P34=0,P34=""),OR(Q34=0,Q34=""),OR(R34=0,R34="")),0,IF(AND(OR(P34=0,P34=""),OR(Q34=0,Q34=""),R34&lt;&gt;""),R34,IF(AND(AND(P34&lt;&gt;"",P34&lt;&gt;0),AND(Q34&lt;&gt;"",Q34&lt;&gt;0),OR(R34="",R34=0)),P34*Q34,IF(AND(OR(P34&gt;0,Q34&gt;0),R34&gt;0),"/1\"," /2\ "))))))</f>
        <v/>
      </c>
      <c r="V34" s="267" t="str">
        <f t="shared" ref="V34" si="20">IF(AND(ISERROR(SEARCH("/",X34,1)),ISERROR(SEARCH("/",Y34,1)),ISERROR(SEARCH("/",Z34,1))),"ok","err")</f>
        <v>ok</v>
      </c>
      <c r="X34" s="316" t="str">
        <f t="shared" si="13"/>
        <v/>
      </c>
      <c r="Y34" s="317" t="str">
        <f t="shared" si="14"/>
        <v/>
      </c>
      <c r="Z34" s="318" t="str">
        <f t="shared" si="15"/>
        <v/>
      </c>
      <c r="AA34" s="302" t="str">
        <f t="shared" si="16"/>
        <v/>
      </c>
      <c r="AB34" s="269"/>
      <c r="AC34" s="264"/>
      <c r="AD34" s="264"/>
      <c r="AE34" s="264"/>
      <c r="AF34" s="264"/>
      <c r="AG34" s="264"/>
      <c r="AH34" s="264"/>
      <c r="AI34" s="264"/>
      <c r="AJ34" s="263"/>
      <c r="AK34" s="263"/>
      <c r="AL34" s="263"/>
      <c r="AM34" s="263"/>
      <c r="AN34" s="263"/>
      <c r="AO34" s="263"/>
      <c r="AP34" s="263"/>
      <c r="AQ34" s="526"/>
      <c r="AR34" s="526"/>
      <c r="AS34" s="526"/>
      <c r="AT34" s="526"/>
      <c r="AU34" s="526"/>
      <c r="AV34" s="526"/>
      <c r="AW34" s="526"/>
      <c r="AX34" s="263"/>
      <c r="BC34" s="319" t="s">
        <v>92</v>
      </c>
      <c r="BD34" s="312">
        <f>SUMPRODUCT(H33:H36,I33:I36)+SUM(J33:J36)</f>
        <v>0</v>
      </c>
      <c r="BE34" s="313">
        <f>SUMPRODUCT(L33:L36,M33:M36)+SUM(N33:N36)</f>
        <v>0</v>
      </c>
      <c r="BF34" s="314">
        <f>SUMPRODUCT(P33:P36,Q33:Q36)+SUM(R33:R36)</f>
        <v>0</v>
      </c>
      <c r="BG34" s="312">
        <f t="shared" si="3"/>
        <v>0</v>
      </c>
      <c r="BH34" s="313">
        <f t="shared" si="4"/>
        <v>0</v>
      </c>
      <c r="BI34" s="314">
        <f t="shared" si="5"/>
        <v>0</v>
      </c>
      <c r="BJ34" s="312">
        <f t="shared" si="6"/>
        <v>0</v>
      </c>
      <c r="BK34" s="313">
        <f t="shared" si="7"/>
        <v>0</v>
      </c>
      <c r="BL34" s="314">
        <f t="shared" si="8"/>
        <v>0</v>
      </c>
      <c r="BM34" s="312">
        <f t="shared" si="9"/>
        <v>0</v>
      </c>
      <c r="BN34" s="313">
        <f t="shared" si="10"/>
        <v>0</v>
      </c>
      <c r="BO34" s="314">
        <f t="shared" si="11"/>
        <v>0</v>
      </c>
    </row>
    <row r="35" spans="2:67" ht="15" customHeight="1" x14ac:dyDescent="0.25">
      <c r="B35" s="544"/>
      <c r="C35" s="539"/>
      <c r="D35" s="552"/>
      <c r="E35" s="315" t="s">
        <v>180</v>
      </c>
      <c r="F35" s="71"/>
      <c r="G35" s="8"/>
      <c r="H35" s="16"/>
      <c r="I35" s="17"/>
      <c r="J35" s="26"/>
      <c r="L35" s="16"/>
      <c r="M35" s="17"/>
      <c r="N35" s="25"/>
      <c r="P35" s="16"/>
      <c r="Q35" s="17"/>
      <c r="R35" s="25"/>
      <c r="S35" s="267" t="str">
        <f t="shared" si="17"/>
        <v/>
      </c>
      <c r="T35" s="267" t="str">
        <f t="shared" si="18"/>
        <v/>
      </c>
      <c r="U35" s="267" t="str">
        <f t="shared" si="19"/>
        <v/>
      </c>
      <c r="V35" s="267" t="str">
        <f t="shared" si="12"/>
        <v>ok</v>
      </c>
      <c r="X35" s="316" t="str">
        <f t="shared" si="13"/>
        <v/>
      </c>
      <c r="Y35" s="317" t="str">
        <f t="shared" si="14"/>
        <v/>
      </c>
      <c r="Z35" s="318" t="str">
        <f t="shared" si="15"/>
        <v/>
      </c>
      <c r="AA35" s="302" t="str">
        <f t="shared" si="16"/>
        <v/>
      </c>
      <c r="AB35" s="320"/>
      <c r="AC35" s="320"/>
      <c r="AD35" s="262"/>
      <c r="AE35" s="263"/>
      <c r="AF35" s="263"/>
      <c r="AG35" s="263"/>
      <c r="AH35" s="263"/>
      <c r="AI35" s="263"/>
      <c r="AJ35" s="263"/>
      <c r="AK35" s="263"/>
      <c r="AL35" s="263"/>
      <c r="AM35" s="263"/>
      <c r="AN35" s="263"/>
      <c r="AO35" s="263"/>
      <c r="AP35" s="263"/>
      <c r="AQ35" s="526"/>
      <c r="AR35" s="526"/>
      <c r="AS35" s="526"/>
      <c r="AT35" s="526"/>
      <c r="AU35" s="526"/>
      <c r="AV35" s="526"/>
      <c r="AW35" s="526"/>
      <c r="AX35" s="263"/>
      <c r="BC35" s="311" t="s">
        <v>102</v>
      </c>
      <c r="BD35" s="312">
        <f>SUMPRODUCT(H42:H45,I42:I45)+SUM(J42:J45)</f>
        <v>0</v>
      </c>
      <c r="BE35" s="313">
        <f>SUMPRODUCT(L42:L45,M42:M45)+SUM(N42:N45)</f>
        <v>0</v>
      </c>
      <c r="BF35" s="314">
        <f>SUMPRODUCT(P42:P45,Q42:Q45)+SUM(R42:R45)</f>
        <v>0</v>
      </c>
      <c r="BG35" s="312">
        <f t="shared" si="3"/>
        <v>0</v>
      </c>
      <c r="BH35" s="313">
        <f t="shared" si="4"/>
        <v>0</v>
      </c>
      <c r="BI35" s="314">
        <f t="shared" si="5"/>
        <v>0</v>
      </c>
      <c r="BJ35" s="312">
        <f t="shared" si="6"/>
        <v>0</v>
      </c>
      <c r="BK35" s="313">
        <f t="shared" si="7"/>
        <v>0</v>
      </c>
      <c r="BL35" s="314">
        <f t="shared" si="8"/>
        <v>0</v>
      </c>
      <c r="BM35" s="312">
        <f t="shared" si="9"/>
        <v>0</v>
      </c>
      <c r="BN35" s="313">
        <f t="shared" si="10"/>
        <v>0</v>
      </c>
      <c r="BO35" s="314">
        <f t="shared" si="11"/>
        <v>0</v>
      </c>
    </row>
    <row r="36" spans="2:67" ht="15" customHeight="1" x14ac:dyDescent="0.25">
      <c r="B36" s="544"/>
      <c r="C36" s="539"/>
      <c r="D36" s="553"/>
      <c r="E36" s="321" t="s">
        <v>181</v>
      </c>
      <c r="F36" s="74"/>
      <c r="G36" s="9"/>
      <c r="H36" s="18"/>
      <c r="I36" s="19"/>
      <c r="J36" s="27"/>
      <c r="L36" s="18"/>
      <c r="M36" s="19"/>
      <c r="N36" s="27"/>
      <c r="P36" s="18"/>
      <c r="Q36" s="19"/>
      <c r="R36" s="27"/>
      <c r="S36" s="267" t="str">
        <f t="shared" si="17"/>
        <v/>
      </c>
      <c r="T36" s="267" t="str">
        <f t="shared" si="18"/>
        <v/>
      </c>
      <c r="U36" s="267" t="str">
        <f t="shared" si="19"/>
        <v/>
      </c>
      <c r="V36" s="267" t="str">
        <f t="shared" si="12"/>
        <v>ok</v>
      </c>
      <c r="X36" s="322" t="str">
        <f t="shared" si="13"/>
        <v/>
      </c>
      <c r="Y36" s="323" t="str">
        <f t="shared" si="14"/>
        <v/>
      </c>
      <c r="Z36" s="324" t="str">
        <f t="shared" si="15"/>
        <v/>
      </c>
      <c r="AA36" s="302" t="str">
        <f t="shared" si="16"/>
        <v/>
      </c>
      <c r="AB36" s="261"/>
      <c r="AC36" s="262"/>
      <c r="AD36" s="262"/>
      <c r="AE36" s="263"/>
      <c r="AF36" s="263"/>
      <c r="AG36" s="263"/>
      <c r="AH36" s="263"/>
      <c r="AI36" s="263"/>
      <c r="AJ36" s="263"/>
      <c r="AK36" s="263"/>
      <c r="AL36" s="263"/>
      <c r="AM36" s="263"/>
      <c r="AN36" s="263"/>
      <c r="AO36" s="263"/>
      <c r="AP36" s="263"/>
      <c r="AQ36" s="526"/>
      <c r="AR36" s="526"/>
      <c r="AS36" s="526"/>
      <c r="AT36" s="526"/>
      <c r="AU36" s="526"/>
      <c r="AV36" s="526"/>
      <c r="AW36" s="526"/>
      <c r="AX36" s="263"/>
      <c r="BC36" s="311" t="s">
        <v>17</v>
      </c>
      <c r="BD36" s="312">
        <f>SUMPRODUCT(H46:H47,I46:I47)+SUM(J46:J47)</f>
        <v>0</v>
      </c>
      <c r="BE36" s="313">
        <f>SUMPRODUCT(L46:L47,M46:M47)+SUM(N46:N47)</f>
        <v>0</v>
      </c>
      <c r="BF36" s="314">
        <f>SUMPRODUCT(P46:P47,Q46:Q47)+SUM(R46:R47)</f>
        <v>0</v>
      </c>
      <c r="BG36" s="312">
        <f t="shared" si="3"/>
        <v>0</v>
      </c>
      <c r="BH36" s="313">
        <f t="shared" si="4"/>
        <v>0</v>
      </c>
      <c r="BI36" s="314">
        <f t="shared" si="5"/>
        <v>0</v>
      </c>
      <c r="BJ36" s="312">
        <f t="shared" si="6"/>
        <v>0</v>
      </c>
      <c r="BK36" s="313">
        <f t="shared" si="7"/>
        <v>0</v>
      </c>
      <c r="BL36" s="314">
        <f t="shared" si="8"/>
        <v>0</v>
      </c>
      <c r="BM36" s="312">
        <f t="shared" si="9"/>
        <v>0</v>
      </c>
      <c r="BN36" s="313">
        <f t="shared" si="10"/>
        <v>0</v>
      </c>
      <c r="BO36" s="314">
        <f t="shared" si="11"/>
        <v>0</v>
      </c>
    </row>
    <row r="37" spans="2:67" ht="15" customHeight="1" x14ac:dyDescent="0.25">
      <c r="B37" s="544"/>
      <c r="C37" s="539"/>
      <c r="D37" s="551" t="s">
        <v>88</v>
      </c>
      <c r="E37" s="307" t="s">
        <v>182</v>
      </c>
      <c r="F37" s="73"/>
      <c r="G37" s="7"/>
      <c r="H37" s="14"/>
      <c r="I37" s="15"/>
      <c r="J37" s="25"/>
      <c r="L37" s="14"/>
      <c r="M37" s="15"/>
      <c r="N37" s="25"/>
      <c r="P37" s="14"/>
      <c r="Q37" s="15"/>
      <c r="R37" s="25"/>
      <c r="S37" s="267" t="str">
        <f t="shared" si="17"/>
        <v/>
      </c>
      <c r="T37" s="267" t="str">
        <f t="shared" si="18"/>
        <v/>
      </c>
      <c r="U37" s="267" t="str">
        <f t="shared" si="19"/>
        <v/>
      </c>
      <c r="V37" s="267" t="str">
        <f t="shared" si="12"/>
        <v>ok</v>
      </c>
      <c r="X37" s="308" t="str">
        <f t="shared" si="13"/>
        <v/>
      </c>
      <c r="Y37" s="309" t="str">
        <f t="shared" si="14"/>
        <v/>
      </c>
      <c r="Z37" s="310" t="str">
        <f t="shared" si="15"/>
        <v/>
      </c>
      <c r="AA37" s="302" t="str">
        <f t="shared" si="16"/>
        <v/>
      </c>
      <c r="AB37" s="261"/>
      <c r="AC37" s="526" t="str">
        <f>IF(OR(J21="",J21=0),"Variation des charges",IF(N13&lt;&gt;"ok","Variation des charges",IF(X159="","Variation des charges",IF(X159&gt;0,CONCATENATE("Vos charges ont augmenté de ",IF(ROUND(X159,0)&lt;10,ROUND(X159,1),ROUND(X159,0))," €/t"),IF(X159&lt;0,CONCATENATE("Vos charges ont diminué de ",IF(ROUND(-X159,0)&lt;10,ROUND(-X159,1),ROUND(-X159,0))," €/t"),"Vos charges sont au même niveau")))))</f>
        <v>Variation des charges</v>
      </c>
      <c r="AD37" s="526"/>
      <c r="AE37" s="526"/>
      <c r="AF37" s="526"/>
      <c r="AG37" s="526"/>
      <c r="AH37" s="526"/>
      <c r="AI37" s="526"/>
      <c r="AJ37" s="325"/>
      <c r="AK37" s="263"/>
      <c r="AL37" s="263"/>
      <c r="AM37" s="263"/>
      <c r="AN37" s="263"/>
      <c r="AO37" s="263"/>
      <c r="AP37" s="263"/>
      <c r="AQ37" s="526"/>
      <c r="AR37" s="526"/>
      <c r="AS37" s="526"/>
      <c r="AT37" s="526"/>
      <c r="AU37" s="526"/>
      <c r="AV37" s="526"/>
      <c r="AW37" s="526"/>
      <c r="AX37" s="263"/>
      <c r="BC37" s="311" t="s">
        <v>107</v>
      </c>
      <c r="BD37" s="312">
        <f>J48</f>
        <v>0</v>
      </c>
      <c r="BE37" s="313">
        <f>N48</f>
        <v>0</v>
      </c>
      <c r="BF37" s="314">
        <f>R48</f>
        <v>0</v>
      </c>
      <c r="BG37" s="312">
        <f t="shared" si="3"/>
        <v>0</v>
      </c>
      <c r="BH37" s="313">
        <f t="shared" si="4"/>
        <v>0</v>
      </c>
      <c r="BI37" s="314">
        <f t="shared" si="5"/>
        <v>0</v>
      </c>
      <c r="BJ37" s="312">
        <f t="shared" si="6"/>
        <v>0</v>
      </c>
      <c r="BK37" s="313">
        <f t="shared" si="7"/>
        <v>0</v>
      </c>
      <c r="BL37" s="314">
        <f t="shared" si="8"/>
        <v>0</v>
      </c>
      <c r="BM37" s="312">
        <f t="shared" si="9"/>
        <v>0</v>
      </c>
      <c r="BN37" s="313">
        <f t="shared" si="10"/>
        <v>0</v>
      </c>
      <c r="BO37" s="314">
        <f t="shared" si="11"/>
        <v>0</v>
      </c>
    </row>
    <row r="38" spans="2:67" ht="15" customHeight="1" x14ac:dyDescent="0.25">
      <c r="B38" s="544"/>
      <c r="C38" s="539"/>
      <c r="D38" s="552"/>
      <c r="E38" s="307" t="s">
        <v>183</v>
      </c>
      <c r="F38" s="71"/>
      <c r="G38" s="8"/>
      <c r="H38" s="16"/>
      <c r="I38" s="17"/>
      <c r="J38" s="26"/>
      <c r="L38" s="16"/>
      <c r="M38" s="17"/>
      <c r="N38" s="26"/>
      <c r="P38" s="16"/>
      <c r="Q38" s="17"/>
      <c r="R38" s="26"/>
      <c r="S38" s="267" t="str">
        <f>IF(AND(H38="",I38="",J38=""),"",IF($I$17="","/0\",IF(AND(OR(H38=0,H38=""),OR(I38=0,I38=""),OR(J38=0,J38="")),0,IF(AND(OR(H38=0,H38=""),OR(I38=0,I38=""),J38&lt;&gt;""),J38,IF(AND(AND(H38&lt;&gt;"",H38&lt;&gt;0),AND(I38&lt;&gt;"",I38&lt;&gt;0),OR(J38="",J38=0)),H38*I38,IF(AND(OR(H38&gt;0,I38&gt;0),J38&gt;0),"/1\"," /2\ "))))))</f>
        <v/>
      </c>
      <c r="T38" s="267" t="str">
        <f>IF(AND(L38="",M38="",N38=""),"",IF($M$17="","/0'\",IF(AND(OR(L38=0,L38=""),OR(M38=0,M38=""),OR(N38=0,N38="")),0,IF(AND(OR(L38=0,L38=""),OR(M38=0,M38=""),N38&lt;&gt;""),N38,IF(AND(AND(L38&lt;&gt;"",L38&lt;&gt;0),AND(M38&lt;&gt;"",M38&lt;&gt;0),OR(N38="",N38=0)),L38*M38,IF(AND(OR(L38&gt;0,M38&gt;0),N38&gt;0),"/1\"," /2\ "))))))</f>
        <v/>
      </c>
      <c r="U38" s="267" t="str">
        <f>IF(AND(P38="",Q38="",R38=""),"",IF($Q$17="","/0''\",IF(AND(OR(P38=0,P38=""),OR(Q38=0,Q38=""),OR(R38=0,R38="")),0,IF(AND(OR(P38=0,P38=""),OR(Q38=0,Q38=""),R38&lt;&gt;""),R38,IF(AND(AND(P38&lt;&gt;"",P38&lt;&gt;0),AND(Q38&lt;&gt;"",Q38&lt;&gt;0),OR(R38="",R38=0)),P38*Q38,IF(AND(OR(P38&gt;0,Q38&gt;0),R38&gt;0),"/1\"," /2\ "))))))</f>
        <v/>
      </c>
      <c r="V38" s="267" t="str">
        <f t="shared" si="12"/>
        <v>ok</v>
      </c>
      <c r="X38" s="316" t="str">
        <f t="shared" si="13"/>
        <v/>
      </c>
      <c r="Y38" s="317" t="str">
        <f t="shared" si="14"/>
        <v/>
      </c>
      <c r="Z38" s="318" t="str">
        <f t="shared" si="15"/>
        <v/>
      </c>
      <c r="AA38" s="302" t="str">
        <f>IF(ISERROR(HLOOKUP($T$12,X38:Z38,1,FALSE))=FALSE,VLOOKUP($T$12,$T$12:$U$19,2,FALSE),IF(ISERROR(HLOOKUP($T$13,X38:Z38,1,FALSE))=FALSE,VLOOKUP($T$13,$T$12:$U$19,2,FALSE),IF(ISERROR(HLOOKUP($T$14,X38:Z38,1,FALSE))=FALSE,VLOOKUP($T$14,$T$12:$U$19,2,FALSE),IF(ISERROR(HLOOKUP($T$15,X38:Z38,1,FALSE))=FALSE,VLOOKUP($T$15,$T$12:$U$19,2,FALSE),IF(ISERROR(HLOOKUP($T$16,X38:Z38,1,FALSE))=FALSE,VLOOKUP($T$16,$T$12:$U$19,2,FALSE),IF(ISERROR(HLOOKUP($T$17,X38:Z38,1,FALSE))=FALSE,VLOOKUP($T$17,$T$12:$U$19,2,FALSE),IF(ISERROR(HLOOKUP($T$18,X38:Z38,1,FALSE))=FALSE,VLOOKUP($T$18,$T$12:$U$19,2,FALSE),IF(ISERROR(HLOOKUP($T$19,X38:Z38,1,FALSE))=FALSE,VLOOKUP($T$19,$T$12:$U$19,2,FALSE),""))))))))</f>
        <v/>
      </c>
      <c r="AB38" s="261"/>
      <c r="AC38" s="526"/>
      <c r="AD38" s="526"/>
      <c r="AE38" s="526"/>
      <c r="AF38" s="526"/>
      <c r="AG38" s="526"/>
      <c r="AH38" s="526"/>
      <c r="AI38" s="526"/>
      <c r="AJ38" s="325"/>
      <c r="AK38" s="263"/>
      <c r="AL38" s="263"/>
      <c r="AM38" s="263"/>
      <c r="AN38" s="263"/>
      <c r="AO38" s="263"/>
      <c r="AP38" s="263"/>
      <c r="AQ38" s="526"/>
      <c r="AR38" s="526"/>
      <c r="AS38" s="526"/>
      <c r="AT38" s="526"/>
      <c r="AU38" s="526"/>
      <c r="AV38" s="526"/>
      <c r="AW38" s="526"/>
      <c r="AX38" s="263"/>
      <c r="BC38" s="311" t="s">
        <v>18</v>
      </c>
      <c r="BD38" s="312">
        <f>I49*J21</f>
        <v>0</v>
      </c>
      <c r="BE38" s="313">
        <f>M49*N21</f>
        <v>0</v>
      </c>
      <c r="BF38" s="314">
        <f>Q49*R21</f>
        <v>0</v>
      </c>
      <c r="BG38" s="312">
        <f t="shared" si="3"/>
        <v>0</v>
      </c>
      <c r="BH38" s="313">
        <f t="shared" si="4"/>
        <v>0</v>
      </c>
      <c r="BI38" s="314">
        <f t="shared" si="5"/>
        <v>0</v>
      </c>
      <c r="BJ38" s="312">
        <f t="shared" si="6"/>
        <v>0</v>
      </c>
      <c r="BK38" s="313">
        <f t="shared" si="7"/>
        <v>0</v>
      </c>
      <c r="BL38" s="314">
        <f t="shared" si="8"/>
        <v>0</v>
      </c>
      <c r="BM38" s="312">
        <f t="shared" si="9"/>
        <v>0</v>
      </c>
      <c r="BN38" s="313">
        <f t="shared" si="10"/>
        <v>0</v>
      </c>
      <c r="BO38" s="314">
        <f t="shared" si="11"/>
        <v>0</v>
      </c>
    </row>
    <row r="39" spans="2:67" ht="15" customHeight="1" x14ac:dyDescent="0.25">
      <c r="B39" s="544"/>
      <c r="C39" s="539"/>
      <c r="D39" s="552"/>
      <c r="E39" s="307" t="s">
        <v>184</v>
      </c>
      <c r="F39" s="71"/>
      <c r="G39" s="8"/>
      <c r="H39" s="16"/>
      <c r="I39" s="17"/>
      <c r="J39" s="26"/>
      <c r="L39" s="16"/>
      <c r="M39" s="17"/>
      <c r="N39" s="26"/>
      <c r="P39" s="16"/>
      <c r="Q39" s="17"/>
      <c r="R39" s="26"/>
      <c r="S39" s="267" t="str">
        <f t="shared" ref="S39:S41" si="21">IF(AND(H39="",I39="",J39=""),"",IF($I$17="","/0\",IF(AND(OR(H39=0,H39=""),OR(I39=0,I39=""),OR(J39=0,J39="")),0,IF(AND(OR(H39=0,H39=""),OR(I39=0,I39=""),J39&lt;&gt;""),J39,IF(AND(AND(H39&lt;&gt;"",H39&lt;&gt;0),AND(I39&lt;&gt;"",I39&lt;&gt;0),OR(J39="",J39=0)),H39*I39,IF(AND(OR(H39&gt;0,I39&gt;0),J39&gt;0),"/1\"," /2\ "))))))</f>
        <v/>
      </c>
      <c r="T39" s="267" t="str">
        <f t="shared" ref="T39:T41" si="22">IF(AND(L39="",M39="",N39=""),"",IF($M$17="","/0'\",IF(AND(OR(L39=0,L39=""),OR(M39=0,M39=""),OR(N39=0,N39="")),0,IF(AND(OR(L39=0,L39=""),OR(M39=0,M39=""),N39&lt;&gt;""),N39,IF(AND(AND(L39&lt;&gt;"",L39&lt;&gt;0),AND(M39&lt;&gt;"",M39&lt;&gt;0),OR(N39="",N39=0)),L39*M39,IF(AND(OR(L39&gt;0,M39&gt;0),N39&gt;0),"/1\"," /2\ "))))))</f>
        <v/>
      </c>
      <c r="U39" s="267" t="str">
        <f t="shared" ref="U39:U41" si="23">IF(AND(P39="",Q39="",R39=""),"",IF($Q$17="","/0''\",IF(AND(OR(P39=0,P39=""),OR(Q39=0,Q39=""),OR(R39=0,R39="")),0,IF(AND(OR(P39=0,P39=""),OR(Q39=0,Q39=""),R39&lt;&gt;""),R39,IF(AND(AND(P39&lt;&gt;"",P39&lt;&gt;0),AND(Q39&lt;&gt;"",Q39&lt;&gt;0),OR(R39="",R39=0)),P39*Q39,IF(AND(OR(P39&gt;0,Q39&gt;0),R39&gt;0),"/1\"," /2\ "))))))</f>
        <v/>
      </c>
      <c r="V39" s="267" t="str">
        <f t="shared" si="12"/>
        <v>ok</v>
      </c>
      <c r="X39" s="316" t="str">
        <f t="shared" si="13"/>
        <v/>
      </c>
      <c r="Y39" s="317" t="str">
        <f t="shared" si="14"/>
        <v/>
      </c>
      <c r="Z39" s="318" t="str">
        <f t="shared" si="15"/>
        <v/>
      </c>
      <c r="AA39" s="302" t="str">
        <f t="shared" si="16"/>
        <v/>
      </c>
      <c r="AB39" s="261"/>
      <c r="AC39" s="526"/>
      <c r="AD39" s="526"/>
      <c r="AE39" s="526"/>
      <c r="AF39" s="526"/>
      <c r="AG39" s="526"/>
      <c r="AH39" s="526"/>
      <c r="AI39" s="526"/>
      <c r="AJ39" s="325"/>
      <c r="AK39" s="263"/>
      <c r="AL39" s="618" t="str">
        <f>IF($M$17="","",$M$17)</f>
        <v/>
      </c>
      <c r="AM39" s="618"/>
      <c r="AN39" s="618"/>
      <c r="AO39" s="618"/>
      <c r="AP39" s="618"/>
      <c r="AQ39" s="618"/>
      <c r="AR39" s="618"/>
      <c r="AS39" s="618"/>
      <c r="AT39" s="263"/>
      <c r="AU39" s="263"/>
      <c r="AV39" s="263"/>
      <c r="AW39" s="263"/>
      <c r="AX39" s="263"/>
      <c r="BC39" s="311" t="s">
        <v>110</v>
      </c>
      <c r="BD39" s="312">
        <f>J50</f>
        <v>0</v>
      </c>
      <c r="BE39" s="313">
        <f>N50</f>
        <v>0</v>
      </c>
      <c r="BF39" s="314">
        <f>P50*Q50</f>
        <v>0</v>
      </c>
      <c r="BG39" s="312">
        <f t="shared" si="3"/>
        <v>0</v>
      </c>
      <c r="BH39" s="313">
        <f t="shared" si="4"/>
        <v>0</v>
      </c>
      <c r="BI39" s="314">
        <f t="shared" si="5"/>
        <v>0</v>
      </c>
      <c r="BJ39" s="312">
        <f t="shared" si="6"/>
        <v>0</v>
      </c>
      <c r="BK39" s="313">
        <f t="shared" si="7"/>
        <v>0</v>
      </c>
      <c r="BL39" s="314">
        <f t="shared" si="8"/>
        <v>0</v>
      </c>
      <c r="BM39" s="312">
        <f t="shared" si="9"/>
        <v>0</v>
      </c>
      <c r="BN39" s="313">
        <f t="shared" si="10"/>
        <v>0</v>
      </c>
      <c r="BO39" s="314">
        <f t="shared" si="11"/>
        <v>0</v>
      </c>
    </row>
    <row r="40" spans="2:67" ht="15" customHeight="1" x14ac:dyDescent="0.25">
      <c r="B40" s="544"/>
      <c r="C40" s="539"/>
      <c r="D40" s="552"/>
      <c r="E40" s="307" t="s">
        <v>185</v>
      </c>
      <c r="F40" s="71"/>
      <c r="G40" s="8"/>
      <c r="H40" s="16"/>
      <c r="I40" s="17"/>
      <c r="J40" s="26"/>
      <c r="L40" s="16"/>
      <c r="M40" s="17"/>
      <c r="N40" s="26"/>
      <c r="P40" s="16"/>
      <c r="Q40" s="17"/>
      <c r="R40" s="26"/>
      <c r="S40" s="267" t="str">
        <f t="shared" si="21"/>
        <v/>
      </c>
      <c r="T40" s="267" t="str">
        <f t="shared" si="22"/>
        <v/>
      </c>
      <c r="U40" s="267" t="str">
        <f t="shared" si="23"/>
        <v/>
      </c>
      <c r="V40" s="267" t="str">
        <f t="shared" si="12"/>
        <v>ok</v>
      </c>
      <c r="X40" s="316" t="str">
        <f t="shared" si="13"/>
        <v/>
      </c>
      <c r="Y40" s="317" t="str">
        <f t="shared" si="14"/>
        <v/>
      </c>
      <c r="Z40" s="318" t="str">
        <f t="shared" si="15"/>
        <v/>
      </c>
      <c r="AA40" s="302" t="str">
        <f t="shared" si="16"/>
        <v/>
      </c>
      <c r="AB40" s="261"/>
      <c r="AC40" s="526"/>
      <c r="AD40" s="526"/>
      <c r="AE40" s="526"/>
      <c r="AF40" s="526"/>
      <c r="AG40" s="526"/>
      <c r="AH40" s="526"/>
      <c r="AI40" s="526"/>
      <c r="AJ40" s="325"/>
      <c r="AK40" s="263"/>
      <c r="AL40" s="618"/>
      <c r="AM40" s="618"/>
      <c r="AN40" s="618"/>
      <c r="AO40" s="618"/>
      <c r="AP40" s="618"/>
      <c r="AQ40" s="618"/>
      <c r="AR40" s="618"/>
      <c r="AS40" s="618"/>
      <c r="AT40" s="263"/>
      <c r="AU40" s="263"/>
      <c r="AV40" s="263"/>
      <c r="AW40" s="263"/>
      <c r="AX40" s="263"/>
      <c r="BC40" s="311" t="s">
        <v>16</v>
      </c>
      <c r="BD40" s="312">
        <f>H51*I51</f>
        <v>0</v>
      </c>
      <c r="BE40" s="313">
        <f>N51</f>
        <v>0</v>
      </c>
      <c r="BF40" s="314">
        <f>P51*Q51</f>
        <v>0</v>
      </c>
      <c r="BG40" s="312">
        <f t="shared" si="3"/>
        <v>0</v>
      </c>
      <c r="BH40" s="313">
        <f t="shared" si="4"/>
        <v>0</v>
      </c>
      <c r="BI40" s="314">
        <f t="shared" si="5"/>
        <v>0</v>
      </c>
      <c r="BJ40" s="312">
        <f t="shared" si="6"/>
        <v>0</v>
      </c>
      <c r="BK40" s="313">
        <f t="shared" si="7"/>
        <v>0</v>
      </c>
      <c r="BL40" s="314">
        <f t="shared" si="8"/>
        <v>0</v>
      </c>
      <c r="BM40" s="312">
        <f t="shared" si="9"/>
        <v>0</v>
      </c>
      <c r="BN40" s="313">
        <f t="shared" si="10"/>
        <v>0</v>
      </c>
      <c r="BO40" s="314">
        <f t="shared" si="11"/>
        <v>0</v>
      </c>
    </row>
    <row r="41" spans="2:67" ht="15" customHeight="1" x14ac:dyDescent="0.25">
      <c r="B41" s="544"/>
      <c r="C41" s="539"/>
      <c r="D41" s="553"/>
      <c r="E41" s="321" t="s">
        <v>186</v>
      </c>
      <c r="F41" s="74"/>
      <c r="G41" s="9"/>
      <c r="H41" s="18"/>
      <c r="I41" s="19"/>
      <c r="J41" s="27"/>
      <c r="L41" s="18"/>
      <c r="M41" s="19"/>
      <c r="N41" s="27"/>
      <c r="P41" s="18"/>
      <c r="Q41" s="19"/>
      <c r="R41" s="27"/>
      <c r="S41" s="267" t="str">
        <f t="shared" si="21"/>
        <v/>
      </c>
      <c r="T41" s="267" t="str">
        <f t="shared" si="22"/>
        <v/>
      </c>
      <c r="U41" s="267" t="str">
        <f t="shared" si="23"/>
        <v/>
      </c>
      <c r="V41" s="267" t="str">
        <f t="shared" si="12"/>
        <v>ok</v>
      </c>
      <c r="X41" s="322" t="str">
        <f t="shared" si="13"/>
        <v/>
      </c>
      <c r="Y41" s="323" t="str">
        <f t="shared" si="14"/>
        <v/>
      </c>
      <c r="Z41" s="324" t="str">
        <f t="shared" si="15"/>
        <v/>
      </c>
      <c r="AA41" s="302" t="str">
        <f>IF(ISERROR(HLOOKUP($T$12,X41:Z41,1,FALSE))=FALSE,VLOOKUP($T$12,$T$12:$U$19,2,FALSE),IF(ISERROR(HLOOKUP($T$13,X41:Z41,1,FALSE))=FALSE,VLOOKUP($T$13,$T$12:$U$19,2,FALSE),IF(ISERROR(HLOOKUP($T$14,X41:Z41,1,FALSE))=FALSE,VLOOKUP($T$14,$T$12:$U$19,2,FALSE),IF(ISERROR(HLOOKUP($T$15,X41:Z41,1,FALSE))=FALSE,VLOOKUP($T$15,$T$12:$U$19,2,FALSE),IF(ISERROR(HLOOKUP($T$16,X41:Z41,1,FALSE))=FALSE,VLOOKUP($T$16,$T$12:$U$19,2,FALSE),IF(ISERROR(HLOOKUP($T$17,X41:Z41,1,FALSE))=FALSE,VLOOKUP($T$17,$T$12:$U$19,2,FALSE),IF(ISERROR(HLOOKUP($T$18,X41:Z41,1,FALSE))=FALSE,VLOOKUP($T$18,$T$12:$U$19,2,FALSE),IF(ISERROR(HLOOKUP($T$19,X41:Z41,1,FALSE))=FALSE,VLOOKUP($T$19,$T$12:$U$19,2,FALSE),""))))))))</f>
        <v/>
      </c>
      <c r="AB41" s="261"/>
      <c r="AC41" s="526"/>
      <c r="AD41" s="526"/>
      <c r="AE41" s="526"/>
      <c r="AF41" s="526"/>
      <c r="AG41" s="526"/>
      <c r="AH41" s="526"/>
      <c r="AI41" s="526"/>
      <c r="AJ41" s="325"/>
      <c r="AK41" s="263"/>
      <c r="AL41" s="603" t="str">
        <f>IF(OR($M$17="",$N$21="",$N$21=0),"",CONCATENATE("(rdt moy = ",$N$21," T/ha)"))</f>
        <v/>
      </c>
      <c r="AM41" s="603"/>
      <c r="AN41" s="603"/>
      <c r="AO41" s="603"/>
      <c r="AP41" s="603"/>
      <c r="AQ41" s="603"/>
      <c r="AR41" s="603"/>
      <c r="AS41" s="603"/>
      <c r="AT41" s="263"/>
      <c r="AU41" s="263"/>
      <c r="AV41" s="263"/>
      <c r="AW41" s="263"/>
      <c r="AX41" s="263"/>
      <c r="BC41" s="311" t="s">
        <v>6</v>
      </c>
      <c r="BD41" s="312">
        <f>J52</f>
        <v>0</v>
      </c>
      <c r="BE41" s="313">
        <f>N52</f>
        <v>0</v>
      </c>
      <c r="BF41" s="314">
        <f>R52</f>
        <v>0</v>
      </c>
      <c r="BG41" s="312">
        <f t="shared" si="3"/>
        <v>0</v>
      </c>
      <c r="BH41" s="313">
        <f t="shared" si="4"/>
        <v>0</v>
      </c>
      <c r="BI41" s="314">
        <f t="shared" si="5"/>
        <v>0</v>
      </c>
      <c r="BJ41" s="312">
        <f t="shared" si="6"/>
        <v>0</v>
      </c>
      <c r="BK41" s="313">
        <f t="shared" si="7"/>
        <v>0</v>
      </c>
      <c r="BL41" s="314">
        <f t="shared" si="8"/>
        <v>0</v>
      </c>
      <c r="BM41" s="312">
        <f t="shared" si="9"/>
        <v>0</v>
      </c>
      <c r="BN41" s="313">
        <f t="shared" si="10"/>
        <v>0</v>
      </c>
      <c r="BO41" s="314">
        <f t="shared" si="11"/>
        <v>0</v>
      </c>
    </row>
    <row r="42" spans="2:67" ht="15" customHeight="1" x14ac:dyDescent="0.25">
      <c r="B42" s="544"/>
      <c r="C42" s="539"/>
      <c r="D42" s="551" t="s">
        <v>102</v>
      </c>
      <c r="E42" s="326" t="s">
        <v>174</v>
      </c>
      <c r="F42" s="75"/>
      <c r="G42" s="327" t="s">
        <v>1</v>
      </c>
      <c r="H42" s="328"/>
      <c r="I42" s="329"/>
      <c r="J42" s="38"/>
      <c r="L42" s="328"/>
      <c r="M42" s="329"/>
      <c r="N42" s="38"/>
      <c r="P42" s="328"/>
      <c r="Q42" s="329"/>
      <c r="R42" s="38"/>
      <c r="S42" s="267" t="str">
        <f t="shared" ref="S42:S47" si="24">IF(AND(H42="",I42="",J42=""),"",IF($I$17="","/0\",IF(AND(OR(H42=0,H42=""),OR(I42=0,I42=""),OR(J42=0,J42="")),0,IF(AND(OR(H42=0,H42=""),OR(I42=0,I42=""),J42&lt;&gt;""),J42,IF(AND(AND(H42&lt;&gt;"",H42&lt;&gt;0),AND(I42&lt;&gt;"",I42&lt;&gt;0),OR(J42="",J42=0)),H42*I42,IF(AND(OR(H42&gt;0,I42&gt;0),J42&gt;0),"/1\"," /2\ "))))))</f>
        <v/>
      </c>
      <c r="T42" s="267" t="str">
        <f t="shared" ref="T42:T47" si="25">IF(AND(L42="",M42="",N42=""),"",IF($M$17="","/0'\",IF(AND(OR(L42=0,L42=""),OR(M42=0,M42=""),OR(N42=0,N42="")),0,IF(AND(OR(L42=0,L42=""),OR(M42=0,M42=""),N42&lt;&gt;""),N42,IF(AND(AND(L42&lt;&gt;"",L42&lt;&gt;0),AND(M42&lt;&gt;"",M42&lt;&gt;0),OR(N42="",N42=0)),L42*M42,IF(AND(OR(L42&gt;0,M42&gt;0),N42&gt;0),"/1\"," /2\ "))))))</f>
        <v/>
      </c>
      <c r="U42" s="267" t="str">
        <f t="shared" ref="U42:U47" si="26">IF(AND(P42="",Q42="",R42=""),"",IF($Q$17="","/0''\",IF(AND(OR(P42=0,P42=""),OR(Q42=0,Q42=""),OR(R42=0,R42="")),0,IF(AND(OR(P42=0,P42=""),OR(Q42=0,Q42=""),R42&lt;&gt;""),R42,IF(AND(AND(P42&lt;&gt;"",P42&lt;&gt;0),AND(Q42&lt;&gt;"",Q42&lt;&gt;0),OR(R42="",R42=0)),P42*Q42,IF(AND(OR(P42&gt;0,Q42&gt;0),R42&gt;0),"/1\"," /2\ "))))))</f>
        <v/>
      </c>
      <c r="V42" s="267" t="str">
        <f t="shared" ref="V42:V47" si="27">IF(AND(ISERROR(SEARCH("/",X42,1)),ISERROR(SEARCH("/",Y42,1)),ISERROR(SEARCH("/",Z42,1))),"ok","err")</f>
        <v>ok</v>
      </c>
      <c r="X42" s="308" t="str">
        <f t="shared" si="13"/>
        <v/>
      </c>
      <c r="Y42" s="309" t="str">
        <f t="shared" si="14"/>
        <v/>
      </c>
      <c r="Z42" s="310" t="str">
        <f t="shared" si="15"/>
        <v/>
      </c>
      <c r="AA42" s="302" t="str">
        <f t="shared" si="16"/>
        <v/>
      </c>
      <c r="AB42" s="261"/>
      <c r="AC42" s="526"/>
      <c r="AD42" s="526"/>
      <c r="AE42" s="526"/>
      <c r="AF42" s="526"/>
      <c r="AG42" s="526"/>
      <c r="AH42" s="526"/>
      <c r="AI42" s="526"/>
      <c r="AJ42" s="325"/>
      <c r="AK42" s="263"/>
      <c r="AL42" s="263"/>
      <c r="AM42" s="263"/>
      <c r="AN42" s="263"/>
      <c r="AO42" s="263"/>
      <c r="AP42" s="263"/>
      <c r="AQ42" s="263"/>
      <c r="AR42" s="263"/>
      <c r="AS42" s="263"/>
      <c r="AT42" s="263"/>
      <c r="AU42" s="263"/>
      <c r="AV42" s="263"/>
      <c r="AW42" s="263"/>
      <c r="AX42" s="263"/>
      <c r="BC42" s="311" t="s">
        <v>7</v>
      </c>
      <c r="BD42" s="312">
        <f>SUM(J53:J54)</f>
        <v>0</v>
      </c>
      <c r="BE42" s="313">
        <f>SUM(N53:N54)</f>
        <v>0</v>
      </c>
      <c r="BF42" s="314">
        <f>SUM(R53:R54)</f>
        <v>0</v>
      </c>
      <c r="BG42" s="312">
        <f t="shared" si="3"/>
        <v>0</v>
      </c>
      <c r="BH42" s="313">
        <f t="shared" si="4"/>
        <v>0</v>
      </c>
      <c r="BI42" s="314">
        <f t="shared" si="5"/>
        <v>0</v>
      </c>
      <c r="BJ42" s="312">
        <f t="shared" si="6"/>
        <v>0</v>
      </c>
      <c r="BK42" s="313">
        <f t="shared" si="7"/>
        <v>0</v>
      </c>
      <c r="BL42" s="314">
        <f t="shared" si="8"/>
        <v>0</v>
      </c>
      <c r="BM42" s="312">
        <f t="shared" si="9"/>
        <v>0</v>
      </c>
      <c r="BN42" s="313">
        <f t="shared" si="10"/>
        <v>0</v>
      </c>
      <c r="BO42" s="314">
        <f t="shared" si="11"/>
        <v>0</v>
      </c>
    </row>
    <row r="43" spans="2:67" ht="15" customHeight="1" x14ac:dyDescent="0.25">
      <c r="B43" s="544"/>
      <c r="C43" s="539"/>
      <c r="D43" s="552"/>
      <c r="E43" s="315" t="s">
        <v>175</v>
      </c>
      <c r="F43" s="71"/>
      <c r="G43" s="330" t="s">
        <v>1</v>
      </c>
      <c r="H43" s="331"/>
      <c r="I43" s="332"/>
      <c r="J43" s="26"/>
      <c r="K43" s="66"/>
      <c r="L43" s="331"/>
      <c r="M43" s="332"/>
      <c r="N43" s="26"/>
      <c r="O43" s="66"/>
      <c r="P43" s="331"/>
      <c r="Q43" s="332"/>
      <c r="R43" s="26"/>
      <c r="S43" s="267" t="str">
        <f t="shared" ref="S43:S46" si="28">IF(AND(H43="",I43="",J43=""),"",IF($I$17="","/0\",IF(AND(OR(H43=0,H43=""),OR(I43=0,I43=""),OR(J43=0,J43="")),0,IF(AND(OR(H43=0,H43=""),OR(I43=0,I43=""),J43&lt;&gt;""),J43,IF(AND(AND(H43&lt;&gt;"",H43&lt;&gt;0),AND(I43&lt;&gt;"",I43&lt;&gt;0),OR(J43="",J43=0)),H43*I43,IF(AND(OR(H43&gt;0,I43&gt;0),J43&gt;0),"/1\"," /2\ "))))))</f>
        <v/>
      </c>
      <c r="T43" s="267" t="str">
        <f t="shared" ref="T43:T46" si="29">IF(AND(L43="",M43="",N43=""),"",IF($M$17="","/0'\",IF(AND(OR(L43=0,L43=""),OR(M43=0,M43=""),OR(N43=0,N43="")),0,IF(AND(OR(L43=0,L43=""),OR(M43=0,M43=""),N43&lt;&gt;""),N43,IF(AND(AND(L43&lt;&gt;"",L43&lt;&gt;0),AND(M43&lt;&gt;"",M43&lt;&gt;0),OR(N43="",N43=0)),L43*M43,IF(AND(OR(L43&gt;0,M43&gt;0),N43&gt;0),"/1\"," /2\ "))))))</f>
        <v/>
      </c>
      <c r="U43" s="267" t="str">
        <f t="shared" ref="U43:U46" si="30">IF(AND(P43="",Q43="",R43=""),"",IF($Q$17="","/0''\",IF(AND(OR(P43=0,P43=""),OR(Q43=0,Q43=""),OR(R43=0,R43="")),0,IF(AND(OR(P43=0,P43=""),OR(Q43=0,Q43=""),R43&lt;&gt;""),R43,IF(AND(AND(P43&lt;&gt;"",P43&lt;&gt;0),AND(Q43&lt;&gt;"",Q43&lt;&gt;0),OR(R43="",R43=0)),P43*Q43,IF(AND(OR(P43&gt;0,Q43&gt;0),R43&gt;0),"/1\"," /2\ "))))))</f>
        <v/>
      </c>
      <c r="V43" s="267" t="str">
        <f t="shared" ref="V43:V46" si="31">IF(AND(ISERROR(SEARCH("/",X43,1)),ISERROR(SEARCH("/",Y43,1)),ISERROR(SEARCH("/",Z43,1))),"ok","err")</f>
        <v>ok</v>
      </c>
      <c r="X43" s="316" t="str">
        <f t="shared" ref="X43:X46" si="32">IF(OR(S43="",S43=""),"",IF(AND(OR(S43&lt;&gt;"",S43&lt;&gt;0),T43="",U43=""),"  /3\  ",IF(AND(OR(T43&lt;&gt;"",U43&lt;&gt;""),S43=""),"   /4\   ",S43)))</f>
        <v/>
      </c>
      <c r="Y43" s="317" t="str">
        <f t="shared" ref="Y43:Y46" si="33">IF(OR(T43="",T43=""),"",IF(AND(OR(S43&lt;&gt;"",S43&lt;&gt;0),T43="",U43=""),"  /3\  ",IF(AND(OR(T43&lt;&gt;"",U43&lt;&gt;""),S43=""),"   /4\   ",T43)))</f>
        <v/>
      </c>
      <c r="Z43" s="318" t="str">
        <f t="shared" ref="Z43:Z46" si="34">IF(OR(U43="",U43=""),"",IF(AND(OR(S43&lt;&gt;"",S43&lt;&gt;0),T43="",U43=""),"  /3\  ",IF(AND(OR(T43&lt;&gt;"",U43&lt;&gt;""),S43=""),"   /4\   ",U43)))</f>
        <v/>
      </c>
      <c r="AA43" s="302"/>
      <c r="AB43" s="320"/>
      <c r="AC43" s="526"/>
      <c r="AD43" s="526"/>
      <c r="AE43" s="526"/>
      <c r="AF43" s="526"/>
      <c r="AG43" s="526"/>
      <c r="AH43" s="526"/>
      <c r="AI43" s="526"/>
      <c r="AJ43" s="325"/>
      <c r="AK43" s="263"/>
      <c r="AL43" s="263"/>
      <c r="AM43" s="263"/>
      <c r="AN43" s="263"/>
      <c r="AO43" s="263"/>
      <c r="AP43" s="263"/>
      <c r="AQ43" s="526" t="str">
        <f>IF(OR(N21="",N21=0),"Variation des charges",IF(N13&lt;&gt;"ok","Variation des charges",IF(X160="","Variation des charges",IF(X160&gt;0,CONCATENATE("Vos charges ont augmenté de ",IF(ROUND(X160,0)&lt;10,ROUND(X160,1),ROUND(X160,0))," €/t"),IF(X160&lt;0,CONCATENATE("Vos charges ont diminué de ",IF(ROUND(-X160,0)&lt;10,ROUND(-X160,1),ROUND(-X160,0))," €/t"),"Vos charges sont au même niveau")))))</f>
        <v>Variation des charges</v>
      </c>
      <c r="AR43" s="526"/>
      <c r="AS43" s="526"/>
      <c r="AT43" s="526"/>
      <c r="AU43" s="526"/>
      <c r="AV43" s="526"/>
      <c r="AW43" s="526"/>
      <c r="AX43" s="263"/>
      <c r="BC43" s="311" t="s">
        <v>52</v>
      </c>
      <c r="BD43" s="312">
        <f>SUM(J56:J63)</f>
        <v>0</v>
      </c>
      <c r="BE43" s="313">
        <f>SUM(N56:N63)</f>
        <v>0</v>
      </c>
      <c r="BF43" s="314">
        <f>SUM(R56:R63)</f>
        <v>0</v>
      </c>
      <c r="BG43" s="312">
        <f t="shared" si="3"/>
        <v>0</v>
      </c>
      <c r="BH43" s="313">
        <f t="shared" si="4"/>
        <v>0</v>
      </c>
      <c r="BI43" s="314">
        <f t="shared" si="5"/>
        <v>0</v>
      </c>
      <c r="BJ43" s="312">
        <f t="shared" si="6"/>
        <v>0</v>
      </c>
      <c r="BK43" s="313">
        <f t="shared" si="7"/>
        <v>0</v>
      </c>
      <c r="BL43" s="314">
        <f t="shared" si="8"/>
        <v>0</v>
      </c>
      <c r="BM43" s="312">
        <f t="shared" si="9"/>
        <v>0</v>
      </c>
      <c r="BN43" s="313">
        <f t="shared" si="10"/>
        <v>0</v>
      </c>
      <c r="BO43" s="314">
        <f t="shared" si="11"/>
        <v>0</v>
      </c>
    </row>
    <row r="44" spans="2:67" ht="15" customHeight="1" x14ac:dyDescent="0.25">
      <c r="B44" s="544"/>
      <c r="C44" s="539"/>
      <c r="D44" s="552"/>
      <c r="E44" s="315" t="s">
        <v>176</v>
      </c>
      <c r="F44" s="71"/>
      <c r="G44" s="330" t="s">
        <v>1</v>
      </c>
      <c r="H44" s="331"/>
      <c r="I44" s="332"/>
      <c r="J44" s="26"/>
      <c r="K44" s="66"/>
      <c r="L44" s="331"/>
      <c r="M44" s="332"/>
      <c r="N44" s="26"/>
      <c r="O44" s="66"/>
      <c r="P44" s="331"/>
      <c r="Q44" s="332"/>
      <c r="R44" s="26"/>
      <c r="S44" s="267" t="str">
        <f t="shared" si="28"/>
        <v/>
      </c>
      <c r="T44" s="267" t="str">
        <f t="shared" si="29"/>
        <v/>
      </c>
      <c r="U44" s="267" t="str">
        <f t="shared" si="30"/>
        <v/>
      </c>
      <c r="V44" s="267" t="str">
        <f t="shared" si="31"/>
        <v>ok</v>
      </c>
      <c r="X44" s="322" t="str">
        <f t="shared" si="32"/>
        <v/>
      </c>
      <c r="Y44" s="323" t="str">
        <f t="shared" si="33"/>
        <v/>
      </c>
      <c r="Z44" s="324" t="str">
        <f t="shared" si="34"/>
        <v/>
      </c>
      <c r="AA44" s="302"/>
      <c r="AB44" s="320"/>
      <c r="AC44" s="526"/>
      <c r="AD44" s="526"/>
      <c r="AE44" s="526"/>
      <c r="AF44" s="526"/>
      <c r="AG44" s="526"/>
      <c r="AH44" s="526"/>
      <c r="AI44" s="526"/>
      <c r="AJ44" s="325"/>
      <c r="AK44" s="263"/>
      <c r="AL44" s="263"/>
      <c r="AM44" s="263"/>
      <c r="AN44" s="263"/>
      <c r="AO44" s="263"/>
      <c r="AP44" s="263"/>
      <c r="AQ44" s="526"/>
      <c r="AR44" s="526"/>
      <c r="AS44" s="526"/>
      <c r="AT44" s="526"/>
      <c r="AU44" s="526"/>
      <c r="AV44" s="526"/>
      <c r="AW44" s="526"/>
      <c r="AX44" s="263"/>
      <c r="BC44" s="333" t="s">
        <v>12</v>
      </c>
      <c r="BD44" s="334" t="e">
        <f>J66*J67/J65*12</f>
        <v>#DIV/0!</v>
      </c>
      <c r="BE44" s="335" t="e">
        <f>N66*N67/N65*12</f>
        <v>#DIV/0!</v>
      </c>
      <c r="BF44" s="336" t="e">
        <f>R66*R67/R65*12</f>
        <v>#DIV/0!</v>
      </c>
      <c r="BG44" s="334" t="e">
        <f t="shared" si="3"/>
        <v>#DIV/0!</v>
      </c>
      <c r="BH44" s="335" t="e">
        <f t="shared" si="4"/>
        <v>#DIV/0!</v>
      </c>
      <c r="BI44" s="336" t="e">
        <f t="shared" si="5"/>
        <v>#DIV/0!</v>
      </c>
      <c r="BJ44" s="334" t="e">
        <f t="shared" si="6"/>
        <v>#DIV/0!</v>
      </c>
      <c r="BK44" s="335" t="e">
        <f t="shared" si="7"/>
        <v>#DIV/0!</v>
      </c>
      <c r="BL44" s="336" t="e">
        <f t="shared" si="8"/>
        <v>#DIV/0!</v>
      </c>
      <c r="BM44" s="334" t="e">
        <f t="shared" si="9"/>
        <v>#DIV/0!</v>
      </c>
      <c r="BN44" s="335" t="e">
        <f t="shared" si="10"/>
        <v>#DIV/0!</v>
      </c>
      <c r="BO44" s="336" t="e">
        <f t="shared" si="11"/>
        <v>#DIV/0!</v>
      </c>
    </row>
    <row r="45" spans="2:67" ht="15" customHeight="1" x14ac:dyDescent="0.25">
      <c r="B45" s="544"/>
      <c r="C45" s="539"/>
      <c r="D45" s="552"/>
      <c r="E45" s="337" t="s">
        <v>177</v>
      </c>
      <c r="F45" s="76"/>
      <c r="G45" s="338" t="s">
        <v>1</v>
      </c>
      <c r="H45" s="339"/>
      <c r="I45" s="340"/>
      <c r="J45" s="57"/>
      <c r="L45" s="339"/>
      <c r="M45" s="340"/>
      <c r="N45" s="57"/>
      <c r="P45" s="339"/>
      <c r="Q45" s="340"/>
      <c r="R45" s="57"/>
      <c r="S45" s="267" t="str">
        <f t="shared" si="28"/>
        <v/>
      </c>
      <c r="T45" s="267" t="str">
        <f t="shared" si="29"/>
        <v/>
      </c>
      <c r="U45" s="267" t="str">
        <f t="shared" si="30"/>
        <v/>
      </c>
      <c r="V45" s="267" t="str">
        <f t="shared" si="31"/>
        <v>ok</v>
      </c>
      <c r="X45" s="322" t="str">
        <f t="shared" si="32"/>
        <v/>
      </c>
      <c r="Y45" s="323" t="str">
        <f t="shared" si="33"/>
        <v/>
      </c>
      <c r="Z45" s="324" t="str">
        <f t="shared" si="34"/>
        <v/>
      </c>
      <c r="AA45" s="302"/>
      <c r="AB45" s="320"/>
      <c r="AC45" s="320"/>
      <c r="AD45" s="262"/>
      <c r="AE45" s="263"/>
      <c r="AF45" s="263"/>
      <c r="AG45" s="263"/>
      <c r="AH45" s="263"/>
      <c r="AI45" s="263"/>
      <c r="AJ45" s="263"/>
      <c r="AK45" s="263"/>
      <c r="AL45" s="263"/>
      <c r="AM45" s="263"/>
      <c r="AN45" s="263"/>
      <c r="AO45" s="263"/>
      <c r="AP45" s="263"/>
      <c r="AQ45" s="526"/>
      <c r="AR45" s="526"/>
      <c r="AS45" s="526"/>
      <c r="AT45" s="526"/>
      <c r="AU45" s="526"/>
      <c r="AV45" s="526"/>
      <c r="AW45" s="526"/>
      <c r="AX45" s="263"/>
      <c r="BC45" s="303" t="s">
        <v>82</v>
      </c>
      <c r="BD45" s="304" t="e">
        <f>SUM(BD32:BD33,BD35:BD44)</f>
        <v>#DIV/0!</v>
      </c>
      <c r="BE45" s="305" t="e">
        <f t="shared" ref="BE45:BF45" si="35">SUM(BE32:BE33,BE35:BE44)</f>
        <v>#DIV/0!</v>
      </c>
      <c r="BF45" s="306" t="e">
        <f t="shared" si="35"/>
        <v>#DIV/0!</v>
      </c>
      <c r="BG45" s="304" t="e">
        <f>BD45/BD28</f>
        <v>#DIV/0!</v>
      </c>
      <c r="BH45" s="305" t="e">
        <f t="shared" ref="BH45" si="36">SUM(BH32:BH33,BH35:BH44)</f>
        <v>#DIV/0!</v>
      </c>
      <c r="BI45" s="306" t="e">
        <f t="shared" ref="BI45" si="37">SUM(BI32:BI33,BI35:BI44)</f>
        <v>#DIV/0!</v>
      </c>
      <c r="BJ45" s="304" t="e">
        <f t="shared" ref="BJ45" si="38">SUM(BJ32:BJ33,BJ35:BJ44)</f>
        <v>#DIV/0!</v>
      </c>
      <c r="BK45" s="305" t="e">
        <f t="shared" ref="BK45" si="39">SUM(BK32:BK33,BK35:BK44)</f>
        <v>#DIV/0!</v>
      </c>
      <c r="BL45" s="306" t="e">
        <f t="shared" ref="BL45" si="40">SUM(BL32:BL33,BL35:BL44)</f>
        <v>#DIV/0!</v>
      </c>
      <c r="BM45" s="304" t="e">
        <f t="shared" ref="BM45" si="41">SUM(BM32:BM33,BM35:BM44)</f>
        <v>#DIV/0!</v>
      </c>
      <c r="BN45" s="305" t="e">
        <f t="shared" ref="BN45" si="42">SUM(BN32:BN33,BN35:BN44)</f>
        <v>#DIV/0!</v>
      </c>
      <c r="BO45" s="306" t="e">
        <f t="shared" ref="BO45" si="43">SUM(BO32:BO33,BO35:BO44)</f>
        <v>#DIV/0!</v>
      </c>
    </row>
    <row r="46" spans="2:67" ht="15" customHeight="1" x14ac:dyDescent="0.25">
      <c r="B46" s="544"/>
      <c r="C46" s="539"/>
      <c r="D46" s="552" t="s">
        <v>89</v>
      </c>
      <c r="E46" s="341" t="s">
        <v>4</v>
      </c>
      <c r="F46" s="77"/>
      <c r="G46" s="10"/>
      <c r="H46" s="20"/>
      <c r="I46" s="21"/>
      <c r="J46" s="28"/>
      <c r="L46" s="20"/>
      <c r="M46" s="21"/>
      <c r="N46" s="28"/>
      <c r="O46" s="53"/>
      <c r="P46" s="20"/>
      <c r="Q46" s="21"/>
      <c r="R46" s="28"/>
      <c r="S46" s="267" t="str">
        <f t="shared" si="28"/>
        <v/>
      </c>
      <c r="T46" s="267" t="str">
        <f t="shared" si="29"/>
        <v/>
      </c>
      <c r="U46" s="267" t="str">
        <f t="shared" si="30"/>
        <v/>
      </c>
      <c r="V46" s="267" t="str">
        <f t="shared" si="31"/>
        <v>ok</v>
      </c>
      <c r="X46" s="308" t="str">
        <f t="shared" si="32"/>
        <v/>
      </c>
      <c r="Y46" s="309" t="str">
        <f t="shared" si="33"/>
        <v/>
      </c>
      <c r="Z46" s="310" t="str">
        <f t="shared" si="34"/>
        <v/>
      </c>
      <c r="AA46" s="302" t="str">
        <f t="shared" ref="AA46:AA54" si="44">IF(ISERROR(HLOOKUP($T$12,X46:Z46,1,FALSE))=FALSE,VLOOKUP($T$12,$T$12:$U$19,2,FALSE),IF(ISERROR(HLOOKUP($T$13,X46:Z46,1,FALSE))=FALSE,VLOOKUP($T$13,$T$12:$U$19,2,FALSE),IF(ISERROR(HLOOKUP($T$14,X46:Z46,1,FALSE))=FALSE,VLOOKUP($T$14,$T$12:$U$19,2,FALSE),IF(ISERROR(HLOOKUP($T$15,X46:Z46,1,FALSE))=FALSE,VLOOKUP($T$15,$T$12:$U$19,2,FALSE),IF(ISERROR(HLOOKUP($T$16,X46:Z46,1,FALSE))=FALSE,VLOOKUP($T$16,$T$12:$U$19,2,FALSE),IF(ISERROR(HLOOKUP($T$17,X46:Z46,1,FALSE))=FALSE,VLOOKUP($T$17,$T$12:$U$19,2,FALSE),IF(ISERROR(HLOOKUP($T$18,X46:Z46,1,FALSE))=FALSE,VLOOKUP($T$18,$T$12:$U$19,2,FALSE),IF(ISERROR(HLOOKUP($T$19,X46:Z46,1,FALSE))=FALSE,VLOOKUP($T$19,$T$12:$U$19,2,FALSE),""))))))))</f>
        <v/>
      </c>
      <c r="AB46" s="320"/>
      <c r="AC46" s="320"/>
      <c r="AD46" s="262"/>
      <c r="AE46" s="263"/>
      <c r="AF46" s="263"/>
      <c r="AG46" s="263"/>
      <c r="AH46" s="263"/>
      <c r="AI46" s="263"/>
      <c r="AJ46" s="263"/>
      <c r="AK46" s="263"/>
      <c r="AL46" s="263"/>
      <c r="AM46" s="263"/>
      <c r="AN46" s="263"/>
      <c r="AO46" s="263"/>
      <c r="AP46" s="263"/>
      <c r="AQ46" s="526"/>
      <c r="AR46" s="526"/>
      <c r="AS46" s="526"/>
      <c r="AT46" s="526"/>
      <c r="AU46" s="526"/>
      <c r="AV46" s="526"/>
      <c r="AW46" s="526"/>
      <c r="AX46" s="263"/>
      <c r="BB46" s="260"/>
      <c r="BC46" s="333" t="s">
        <v>83</v>
      </c>
      <c r="BD46" s="342" t="e">
        <f>BD45-$J$70</f>
        <v>#DIV/0!</v>
      </c>
      <c r="BE46" s="343" t="e">
        <f>BE45-$N$70</f>
        <v>#DIV/0!</v>
      </c>
      <c r="BF46" s="344" t="e">
        <f>BF45-$R$70</f>
        <v>#DIV/0!</v>
      </c>
      <c r="BG46" s="342" t="e">
        <f>(BD45-$J$70)/BD28</f>
        <v>#DIV/0!</v>
      </c>
      <c r="BH46" s="343" t="e">
        <f>BH45-$N$70/BE28</f>
        <v>#DIV/0!</v>
      </c>
      <c r="BI46" s="344" t="e">
        <f>BI45-$R$70/BF28</f>
        <v>#DIV/0!</v>
      </c>
      <c r="BJ46" s="342" t="e">
        <f>BJ45-$J$70/BD29</f>
        <v>#DIV/0!</v>
      </c>
      <c r="BK46" s="343" t="e">
        <f>BK45-$N$70/BE29</f>
        <v>#DIV/0!</v>
      </c>
      <c r="BL46" s="344" t="e">
        <f>BL45-$R$70/BF29</f>
        <v>#DIV/0!</v>
      </c>
      <c r="BM46" s="342" t="e">
        <f>BM45-$J$70/BD30</f>
        <v>#DIV/0!</v>
      </c>
      <c r="BN46" s="343" t="e">
        <f>BN45-$N$70/BE30</f>
        <v>#DIV/0!</v>
      </c>
      <c r="BO46" s="344" t="e">
        <f>BO45-$R$70/BF30</f>
        <v>#DIV/0!</v>
      </c>
    </row>
    <row r="47" spans="2:67" ht="15" customHeight="1" x14ac:dyDescent="0.25">
      <c r="B47" s="544"/>
      <c r="C47" s="539"/>
      <c r="D47" s="553"/>
      <c r="E47" s="345" t="s">
        <v>5</v>
      </c>
      <c r="F47" s="76"/>
      <c r="G47" s="54"/>
      <c r="H47" s="55"/>
      <c r="I47" s="56"/>
      <c r="J47" s="57"/>
      <c r="L47" s="55"/>
      <c r="M47" s="56"/>
      <c r="N47" s="57"/>
      <c r="O47" s="53"/>
      <c r="P47" s="55"/>
      <c r="Q47" s="56"/>
      <c r="R47" s="57"/>
      <c r="S47" s="267" t="str">
        <f t="shared" si="24"/>
        <v/>
      </c>
      <c r="T47" s="267" t="str">
        <f t="shared" si="25"/>
        <v/>
      </c>
      <c r="U47" s="267" t="str">
        <f t="shared" si="26"/>
        <v/>
      </c>
      <c r="V47" s="267" t="str">
        <f t="shared" si="27"/>
        <v>ok</v>
      </c>
      <c r="X47" s="322" t="str">
        <f t="shared" si="13"/>
        <v/>
      </c>
      <c r="Y47" s="323" t="str">
        <f t="shared" si="14"/>
        <v/>
      </c>
      <c r="Z47" s="324" t="str">
        <f t="shared" si="15"/>
        <v/>
      </c>
      <c r="AA47" s="302" t="str">
        <f t="shared" si="44"/>
        <v/>
      </c>
      <c r="AB47" s="320"/>
      <c r="AC47" s="262"/>
      <c r="AD47" s="262"/>
      <c r="AE47" s="263"/>
      <c r="AF47" s="263"/>
      <c r="AG47" s="263"/>
      <c r="AH47" s="263"/>
      <c r="AI47" s="263"/>
      <c r="AJ47" s="263"/>
      <c r="AK47" s="263"/>
      <c r="AL47" s="263"/>
      <c r="AM47" s="263"/>
      <c r="AN47" s="263"/>
      <c r="AO47" s="263"/>
      <c r="AP47" s="263"/>
      <c r="AQ47" s="526"/>
      <c r="AR47" s="526"/>
      <c r="AS47" s="526"/>
      <c r="AT47" s="526"/>
      <c r="AU47" s="526"/>
      <c r="AV47" s="526"/>
      <c r="AW47" s="526"/>
      <c r="AX47" s="263"/>
      <c r="BC47" s="282"/>
      <c r="BD47" s="282"/>
      <c r="BE47" s="282"/>
      <c r="BF47" s="346" t="s">
        <v>126</v>
      </c>
      <c r="BG47" s="304" t="e">
        <f>BD45/BD28</f>
        <v>#DIV/0!</v>
      </c>
      <c r="BH47" s="305" t="e">
        <f>BE45/BE28</f>
        <v>#DIV/0!</v>
      </c>
      <c r="BI47" s="306" t="e">
        <f>BF45/BF28</f>
        <v>#DIV/0!</v>
      </c>
      <c r="BJ47" s="304" t="e">
        <f>BD45/BD29</f>
        <v>#DIV/0!</v>
      </c>
      <c r="BK47" s="305" t="e">
        <f>BE45/BE29</f>
        <v>#DIV/0!</v>
      </c>
      <c r="BL47" s="306" t="e">
        <f>BF45/BF29</f>
        <v>#DIV/0!</v>
      </c>
      <c r="BM47" s="304" t="e">
        <f>BD45/BD30</f>
        <v>#DIV/0!</v>
      </c>
      <c r="BN47" s="305" t="e">
        <f>BE45/BE30</f>
        <v>#DIV/0!</v>
      </c>
      <c r="BO47" s="306" t="e">
        <f>BF45/BF30</f>
        <v>#DIV/0!</v>
      </c>
    </row>
    <row r="48" spans="2:67" ht="15" customHeight="1" x14ac:dyDescent="0.25">
      <c r="B48" s="544"/>
      <c r="C48" s="541"/>
      <c r="D48" s="584" t="s">
        <v>107</v>
      </c>
      <c r="E48" s="585"/>
      <c r="F48" s="78"/>
      <c r="G48" s="347" t="s">
        <v>1</v>
      </c>
      <c r="H48" s="348"/>
      <c r="I48" s="349"/>
      <c r="J48" s="29"/>
      <c r="L48" s="348"/>
      <c r="M48" s="349"/>
      <c r="N48" s="29"/>
      <c r="O48" s="53"/>
      <c r="P48" s="348"/>
      <c r="Q48" s="349"/>
      <c r="R48" s="29"/>
      <c r="S48" s="267" t="str">
        <f>IF(AND(H48="",I48="",J48=""),"",IF($I$17="","/0\",IF(AND(OR(H48=0,H48=""),OR(I48=0,I48=""),OR(J48=0,J48="")),0,IF(AND(OR(H48=0,H48=""),OR(I48=0,I48=""),J48&lt;&gt;""),J48,IF(AND(AND(H48&lt;&gt;"",H48&lt;&gt;0),AND(I48&lt;&gt;"",I48&lt;&gt;0),OR(J48="",J48=0)),H48*I48,IF(AND(OR(H48&gt;0,I48&gt;0),J48&gt;0),"/1\"," /2\ "))))))</f>
        <v/>
      </c>
      <c r="T48" s="267" t="str">
        <f>IF(AND(L48="",M48="",N48=""),"",IF($M$17="","/0'\",IF(AND(OR(L48=0,L48=""),OR(M48=0,M48=""),OR(N48=0,N48="")),0,IF(AND(OR(L48=0,L48=""),OR(M48=0,M48=""),N48&lt;&gt;""),N48,IF(AND(AND(L48&lt;&gt;"",L48&lt;&gt;0),AND(M48&lt;&gt;"",M48&lt;&gt;0),OR(N48="",N48=0)),L48*M48,IF(AND(OR(L48&gt;0,M48&gt;0),N48&gt;0),"/1\"," /2\ "))))))</f>
        <v/>
      </c>
      <c r="U48" s="267" t="str">
        <f>IF(AND(P48="",Q48="",R48=""),"",IF($Q$17="","/0''\",IF(AND(OR(P48=0,P48=""),OR(Q48=0,Q48=""),OR(R48=0,R48="")),0,IF(AND(OR(P48=0,P48=""),OR(Q48=0,Q48=""),R48&lt;&gt;""),R48,IF(AND(AND(P48&lt;&gt;"",P48&lt;&gt;0),AND(Q48&lt;&gt;"",Q48&lt;&gt;0),OR(R48="",R48=0)),P48*Q48,IF(AND(OR(P48&gt;0,Q48&gt;0),R48&gt;0),"/1\"," /2\ "))))))</f>
        <v/>
      </c>
      <c r="V48" s="267" t="str">
        <f t="shared" ref="V48" si="45">IF(AND(ISERROR(SEARCH("/",X48,1)),ISERROR(SEARCH("/",Y48,1)),ISERROR(SEARCH("/",Z48,1))),"ok","err")</f>
        <v>ok</v>
      </c>
      <c r="X48" s="350" t="str">
        <f t="shared" si="13"/>
        <v/>
      </c>
      <c r="Y48" s="351" t="str">
        <f t="shared" si="14"/>
        <v/>
      </c>
      <c r="Z48" s="352" t="str">
        <f t="shared" si="15"/>
        <v/>
      </c>
      <c r="AA48" s="302" t="str">
        <f t="shared" si="44"/>
        <v/>
      </c>
      <c r="AB48" s="320"/>
      <c r="AC48" s="262"/>
      <c r="AD48" s="262"/>
      <c r="AE48" s="263"/>
      <c r="AF48" s="263"/>
      <c r="AG48" s="263"/>
      <c r="AH48" s="263"/>
      <c r="AI48" s="263"/>
      <c r="AJ48" s="263"/>
      <c r="AK48" s="263"/>
      <c r="AL48" s="263"/>
      <c r="AM48" s="263"/>
      <c r="AN48" s="263"/>
      <c r="AO48" s="263"/>
      <c r="AP48" s="263"/>
      <c r="AQ48" s="526"/>
      <c r="AR48" s="526"/>
      <c r="AS48" s="526"/>
      <c r="AT48" s="526"/>
      <c r="AU48" s="526"/>
      <c r="AV48" s="526"/>
      <c r="AW48" s="526"/>
      <c r="AX48" s="263"/>
      <c r="BC48" s="282"/>
      <c r="BD48" s="282"/>
      <c r="BE48" s="282"/>
      <c r="BF48" s="353" t="s">
        <v>157</v>
      </c>
      <c r="BG48" s="312" t="e">
        <f>BD46/BD28</f>
        <v>#DIV/0!</v>
      </c>
      <c r="BH48" s="313" t="e">
        <f>BE46/BE28</f>
        <v>#DIV/0!</v>
      </c>
      <c r="BI48" s="314" t="e">
        <f>BF46/BF28</f>
        <v>#DIV/0!</v>
      </c>
      <c r="BJ48" s="312" t="e">
        <f>BD46/BD29</f>
        <v>#DIV/0!</v>
      </c>
      <c r="BK48" s="313" t="e">
        <f>BE46/BE29</f>
        <v>#DIV/0!</v>
      </c>
      <c r="BL48" s="314" t="e">
        <f>BF46/BF29</f>
        <v>#DIV/0!</v>
      </c>
      <c r="BM48" s="312" t="e">
        <f>BD46/BD30</f>
        <v>#DIV/0!</v>
      </c>
      <c r="BN48" s="313" t="e">
        <f>BE46/BE30</f>
        <v>#DIV/0!</v>
      </c>
      <c r="BO48" s="314" t="e">
        <f>BF46/BF30</f>
        <v>#DIV/0!</v>
      </c>
    </row>
    <row r="49" spans="1:67" s="260" customFormat="1" ht="15" customHeight="1" x14ac:dyDescent="0.25">
      <c r="A49" s="237"/>
      <c r="B49" s="544"/>
      <c r="C49" s="546" t="s">
        <v>106</v>
      </c>
      <c r="D49" s="547"/>
      <c r="E49" s="547"/>
      <c r="F49" s="522"/>
      <c r="G49" s="354" t="s">
        <v>204</v>
      </c>
      <c r="H49" s="355"/>
      <c r="I49" s="31"/>
      <c r="J49" s="356"/>
      <c r="K49" s="39"/>
      <c r="L49" s="355"/>
      <c r="M49" s="31"/>
      <c r="N49" s="356"/>
      <c r="O49" s="53"/>
      <c r="P49" s="355"/>
      <c r="Q49" s="31"/>
      <c r="R49" s="356"/>
      <c r="S49" s="357" t="str">
        <f>IF(I49="","",IF($I$17="","/0\",I49*J21))</f>
        <v/>
      </c>
      <c r="T49" s="357" t="str">
        <f>IF(M49="","",IF($M$17="","/0'\",M49*N21))</f>
        <v/>
      </c>
      <c r="U49" s="357" t="str">
        <f>IF(Q49="","",IF($Q$17="","/0''\",Q49*R21))</f>
        <v/>
      </c>
      <c r="V49" s="267" t="str">
        <f t="shared" si="12"/>
        <v>ok</v>
      </c>
      <c r="W49" s="39"/>
      <c r="X49" s="358" t="str">
        <f>IF(OR(S49="",S49=""),"",IF(AND(OR(S49&lt;&gt;"",S49&lt;&gt;0),T49="",U49=""),"  /3\  ",IF(AND(OR(T49&lt;&gt;"",U49&lt;&gt;""),S49=""),"   /4\   ",S49)))</f>
        <v/>
      </c>
      <c r="Y49" s="359" t="str">
        <f t="shared" si="14"/>
        <v/>
      </c>
      <c r="Z49" s="360" t="str">
        <f t="shared" si="15"/>
        <v/>
      </c>
      <c r="AA49" s="302" t="str">
        <f t="shared" si="44"/>
        <v/>
      </c>
      <c r="AB49" s="320"/>
      <c r="AC49" s="264"/>
      <c r="AD49" s="264"/>
      <c r="AE49" s="264"/>
      <c r="AF49" s="264"/>
      <c r="AG49" s="264"/>
      <c r="AH49" s="264"/>
      <c r="AI49" s="264"/>
      <c r="AJ49" s="264"/>
      <c r="AK49" s="263"/>
      <c r="AL49" s="263"/>
      <c r="AM49" s="263"/>
      <c r="AN49" s="263"/>
      <c r="AO49" s="263"/>
      <c r="AP49" s="263"/>
      <c r="AQ49" s="526"/>
      <c r="AR49" s="526"/>
      <c r="AS49" s="526"/>
      <c r="AT49" s="526"/>
      <c r="AU49" s="526"/>
      <c r="AV49" s="526"/>
      <c r="AW49" s="526"/>
      <c r="AX49" s="263"/>
      <c r="AY49" s="237"/>
      <c r="BB49" s="237"/>
      <c r="BC49" s="276"/>
      <c r="BD49" s="276"/>
      <c r="BE49" s="276"/>
      <c r="BF49" s="361" t="s">
        <v>158</v>
      </c>
      <c r="BG49" s="334" t="e">
        <f>BD28*I69-BD45+J70</f>
        <v>#DIV/0!</v>
      </c>
      <c r="BH49" s="335" t="e">
        <f>BE28*M69-BE45+N70</f>
        <v>#DIV/0!</v>
      </c>
      <c r="BI49" s="336" t="e">
        <f>BF28*Q69-BF45+R70</f>
        <v>#DIV/0!</v>
      </c>
      <c r="BJ49" s="334" t="e">
        <f>BD29*I69-BD45+J70</f>
        <v>#DIV/0!</v>
      </c>
      <c r="BK49" s="335" t="e">
        <f>BE29*M69-BE45+N70</f>
        <v>#DIV/0!</v>
      </c>
      <c r="BL49" s="336" t="e">
        <f>BF29*Q69-BF45+R70</f>
        <v>#DIV/0!</v>
      </c>
      <c r="BM49" s="334" t="e">
        <f>BD30*I69-BD45+J70</f>
        <v>#DIV/0!</v>
      </c>
      <c r="BN49" s="335" t="e">
        <f>BE30*M69-BE45+N70</f>
        <v>#DIV/0!</v>
      </c>
      <c r="BO49" s="336" t="e">
        <f>BF30*Q69-BF45+R70</f>
        <v>#DIV/0!</v>
      </c>
    </row>
    <row r="50" spans="1:67" s="260" customFormat="1" ht="15" customHeight="1" x14ac:dyDescent="0.25">
      <c r="A50" s="237"/>
      <c r="B50" s="544"/>
      <c r="C50" s="546" t="s">
        <v>105</v>
      </c>
      <c r="D50" s="547"/>
      <c r="E50" s="547"/>
      <c r="F50" s="522"/>
      <c r="G50" s="11"/>
      <c r="H50" s="22"/>
      <c r="I50" s="23"/>
      <c r="J50" s="29"/>
      <c r="K50" s="39"/>
      <c r="L50" s="22"/>
      <c r="M50" s="23"/>
      <c r="N50" s="29"/>
      <c r="O50" s="53"/>
      <c r="P50" s="22"/>
      <c r="Q50" s="23"/>
      <c r="R50" s="29"/>
      <c r="S50" s="267" t="str">
        <f>IF(AND(H50="",I50="",J50=""),"",IF($I$17="","/0\",IF(AND(OR(H50=0,H50=""),OR(I50=0,I50=""),OR(J50=0,J50="")),0,IF(AND(OR(H50=0,H50=""),OR(I50=0,I50=""),J50&lt;&gt;""),J50,IF(AND(AND(H50&lt;&gt;"",H50&lt;&gt;0),AND(I50&lt;&gt;"",I50&lt;&gt;0),OR(J50="",J50=0)),H50*I50,IF(AND(OR(H50&gt;0,I50&gt;0),J50&gt;0),"/1\"," /2\ "))))))</f>
        <v/>
      </c>
      <c r="T50" s="267" t="str">
        <f>IF(AND(L50="",M50="",N50=""),"",IF($M$17="","/0'\",IF(AND(OR(L50=0,L50=""),OR(M50=0,M50=""),OR(N50=0,N50="")),0,IF(AND(OR(L50=0,L50=""),OR(M50=0,M50=""),N50&lt;&gt;""),N50,IF(AND(AND(L50&lt;&gt;"",L50&lt;&gt;0),AND(M50&lt;&gt;"",M50&lt;&gt;0),OR(N50="",N50=0)),L50*M50,IF(AND(OR(L50&gt;0,M50&gt;0),N50&gt;0),"/1\"," /2\ "))))))</f>
        <v/>
      </c>
      <c r="U50" s="267" t="str">
        <f>IF(AND(P50="",Q50="",R50=""),"",IF($Q$17="","/0''\",IF(AND(OR(P50=0,P50=""),OR(Q50=0,Q50=""),OR(R50=0,R50="")),0,IF(AND(OR(P50=0,P50=""),OR(Q50=0,Q50=""),R50&lt;&gt;""),R50,IF(AND(AND(P50&lt;&gt;"",P50&lt;&gt;0),AND(Q50&lt;&gt;"",Q50&lt;&gt;0),OR(R50="",R50=0)),P50*Q50,IF(AND(OR(P50&gt;0,Q50&gt;0),R50&gt;0),"/1\"," /2\ "))))))</f>
        <v/>
      </c>
      <c r="V50" s="267" t="str">
        <f t="shared" si="12"/>
        <v>ok</v>
      </c>
      <c r="W50" s="39"/>
      <c r="X50" s="350" t="str">
        <f t="shared" si="13"/>
        <v/>
      </c>
      <c r="Y50" s="351" t="str">
        <f t="shared" si="14"/>
        <v/>
      </c>
      <c r="Z50" s="352" t="str">
        <f t="shared" si="15"/>
        <v/>
      </c>
      <c r="AA50" s="302" t="str">
        <f t="shared" si="44"/>
        <v/>
      </c>
      <c r="AB50" s="320"/>
      <c r="AC50" s="264"/>
      <c r="AD50" s="264"/>
      <c r="AE50" s="264"/>
      <c r="AF50" s="264"/>
      <c r="AG50" s="264"/>
      <c r="AH50" s="264"/>
      <c r="AI50" s="264"/>
      <c r="AJ50" s="264"/>
      <c r="AK50" s="263"/>
      <c r="AL50" s="264"/>
      <c r="AM50" s="264"/>
      <c r="AN50" s="264"/>
      <c r="AO50" s="264"/>
      <c r="AP50" s="264"/>
      <c r="AQ50" s="526"/>
      <c r="AR50" s="526"/>
      <c r="AS50" s="526"/>
      <c r="AT50" s="526"/>
      <c r="AU50" s="526"/>
      <c r="AV50" s="526"/>
      <c r="AW50" s="526"/>
      <c r="AX50" s="264"/>
      <c r="AZ50" s="237"/>
      <c r="BA50" s="237"/>
      <c r="BB50" s="237"/>
      <c r="BC50" s="237"/>
      <c r="BD50" s="237"/>
      <c r="BE50" s="237"/>
    </row>
    <row r="51" spans="1:67" ht="15" customHeight="1" x14ac:dyDescent="0.25">
      <c r="B51" s="544"/>
      <c r="C51" s="533" t="s">
        <v>45</v>
      </c>
      <c r="D51" s="534"/>
      <c r="E51" s="362" t="s">
        <v>0</v>
      </c>
      <c r="F51" s="79"/>
      <c r="G51" s="32"/>
      <c r="H51" s="33"/>
      <c r="I51" s="34"/>
      <c r="J51" s="35"/>
      <c r="L51" s="33"/>
      <c r="M51" s="34"/>
      <c r="N51" s="35"/>
      <c r="O51" s="53"/>
      <c r="P51" s="33"/>
      <c r="Q51" s="34"/>
      <c r="R51" s="35"/>
      <c r="S51" s="267" t="str">
        <f>IF(AND(H51="",I51="",J51=""),"",IF($I$17="","/0\",IF(AND(OR(H51=0,H51=""),OR(I51=0,I51=""),OR(J51=0,J51="")),0,IF(AND(OR(H51=0,H51=""),OR(I51=0,I51=""),J51&lt;&gt;""),J51,IF(AND(AND(H51&lt;&gt;"",H51&lt;&gt;0),AND(I51&lt;&gt;"",I51&lt;&gt;0),OR(J51="",J51=0)),H51*I51,IF(AND(OR(H51&gt;0,I51&gt;0),J51&gt;0),"/1\"," /2\ "))))))</f>
        <v/>
      </c>
      <c r="T51" s="267" t="str">
        <f>IF(AND(L51="",M51="",N51=""),"",IF($M$17="","/0'\",IF(AND(OR(L51=0,L51=""),OR(M51=0,M51=""),OR(N51=0,N51="")),0,IF(AND(OR(L51=0,L51=""),OR(M51=0,M51=""),N51&lt;&gt;""),N51,IF(AND(AND(L51&lt;&gt;"",L51&lt;&gt;0),AND(M51&lt;&gt;"",M51&lt;&gt;0),OR(N51="",N51=0)),L51*M51,IF(AND(OR(L51&gt;0,M51&gt;0),N51&gt;0),"/1\"," /2\ "))))))</f>
        <v/>
      </c>
      <c r="U51" s="267" t="str">
        <f>IF(AND(P51="",Q51="",R51=""),"",IF($Q$17="","/0''\",IF(AND(OR(P51=0,P51=""),OR(Q51=0,Q51=""),OR(R51=0,R51="")),0,IF(AND(OR(P51=0,P51=""),OR(Q51=0,Q51=""),R51&lt;&gt;""),R51,IF(AND(AND(P51&lt;&gt;"",P51&lt;&gt;0),AND(Q51&lt;&gt;"",Q51&lt;&gt;0),OR(R51="",R51=0)),P51*Q51,IF(AND(OR(P51&gt;0,Q51&gt;0),R51&gt;0),"/1\"," /2\ "))))))</f>
        <v/>
      </c>
      <c r="V51" s="267" t="str">
        <f t="shared" si="12"/>
        <v>ok</v>
      </c>
      <c r="X51" s="363" t="str">
        <f t="shared" si="13"/>
        <v/>
      </c>
      <c r="Y51" s="364" t="str">
        <f t="shared" si="14"/>
        <v/>
      </c>
      <c r="Z51" s="365" t="str">
        <f t="shared" si="15"/>
        <v/>
      </c>
      <c r="AA51" s="302" t="str">
        <f t="shared" si="44"/>
        <v/>
      </c>
      <c r="AB51" s="320"/>
      <c r="AC51" s="262"/>
      <c r="AD51" s="262"/>
      <c r="AE51" s="263"/>
      <c r="AF51" s="263"/>
      <c r="AG51" s="263"/>
      <c r="AH51" s="263"/>
      <c r="AI51" s="263"/>
      <c r="AJ51" s="263"/>
      <c r="AK51" s="263"/>
      <c r="AL51" s="618" t="str">
        <f>IF($Q$17="","",$Q$17)</f>
        <v/>
      </c>
      <c r="AM51" s="618"/>
      <c r="AN51" s="618"/>
      <c r="AO51" s="618"/>
      <c r="AP51" s="618"/>
      <c r="AQ51" s="618"/>
      <c r="AR51" s="618"/>
      <c r="AS51" s="618"/>
      <c r="AT51" s="264"/>
      <c r="AU51" s="264"/>
      <c r="AV51" s="263"/>
      <c r="AW51" s="263"/>
      <c r="AX51" s="263"/>
    </row>
    <row r="52" spans="1:67" ht="15" customHeight="1" x14ac:dyDescent="0.25">
      <c r="B52" s="544"/>
      <c r="C52" s="535"/>
      <c r="D52" s="536"/>
      <c r="E52" s="366" t="s">
        <v>6</v>
      </c>
      <c r="F52" s="71"/>
      <c r="G52" s="330" t="s">
        <v>1</v>
      </c>
      <c r="H52" s="331"/>
      <c r="I52" s="332"/>
      <c r="J52" s="26"/>
      <c r="L52" s="331"/>
      <c r="M52" s="332"/>
      <c r="N52" s="26"/>
      <c r="P52" s="331"/>
      <c r="Q52" s="332"/>
      <c r="R52" s="26"/>
      <c r="S52" s="267" t="str">
        <f t="shared" ref="S52:S54" si="46">IF(AND(H52="",I52="",J52=""),"",IF($I$17="","/0\",IF(AND(OR(H52=0,H52=""),OR(I52=0,I52=""),OR(J52=0,J52="")),0,IF(AND(OR(H52=0,H52=""),OR(I52=0,I52=""),J52&lt;&gt;""),J52,IF(AND(AND(H52&lt;&gt;"",H52&lt;&gt;0),AND(I52&lt;&gt;"",I52&lt;&gt;0),OR(J52="",J52=0)),H52*I52,IF(AND(OR(H52&gt;0,I52&gt;0),J52&gt;0),"/1\"," /2\ "))))))</f>
        <v/>
      </c>
      <c r="T52" s="267" t="str">
        <f t="shared" ref="T52:T54" si="47">IF(AND(L52="",M52="",N52=""),"",IF($M$17="","/0'\",IF(AND(OR(L52=0,L52=""),OR(M52=0,M52=""),OR(N52=0,N52="")),0,IF(AND(OR(L52=0,L52=""),OR(M52=0,M52=""),N52&lt;&gt;""),N52,IF(AND(AND(L52&lt;&gt;"",L52&lt;&gt;0),AND(M52&lt;&gt;"",M52&lt;&gt;0),OR(N52="",N52=0)),L52*M52,IF(AND(OR(L52&gt;0,M52&gt;0),N52&gt;0),"/1\"," /2\ "))))))</f>
        <v/>
      </c>
      <c r="U52" s="267" t="str">
        <f t="shared" ref="U52:U54" si="48">IF(AND(P52="",Q52="",R52=""),"",IF($Q$17="","/0''\",IF(AND(OR(P52=0,P52=""),OR(Q52=0,Q52=""),OR(R52=0,R52="")),0,IF(AND(OR(P52=0,P52=""),OR(Q52=0,Q52=""),R52&lt;&gt;""),R52,IF(AND(AND(P52&lt;&gt;"",P52&lt;&gt;0),AND(Q52&lt;&gt;"",Q52&lt;&gt;0),OR(R52="",R52=0)),P52*Q52,IF(AND(OR(P52&gt;0,Q52&gt;0),R52&gt;0),"/1\"," /2\ "))))))</f>
        <v/>
      </c>
      <c r="V52" s="267" t="str">
        <f t="shared" si="12"/>
        <v>ok</v>
      </c>
      <c r="X52" s="316" t="str">
        <f t="shared" si="13"/>
        <v/>
      </c>
      <c r="Y52" s="317" t="str">
        <f t="shared" si="14"/>
        <v/>
      </c>
      <c r="Z52" s="318" t="str">
        <f t="shared" si="15"/>
        <v/>
      </c>
      <c r="AA52" s="302" t="str">
        <f t="shared" si="44"/>
        <v/>
      </c>
      <c r="AB52" s="320"/>
      <c r="AC52" s="262"/>
      <c r="AD52" s="262"/>
      <c r="AE52" s="263"/>
      <c r="AF52" s="263"/>
      <c r="AG52" s="263"/>
      <c r="AH52" s="263"/>
      <c r="AI52" s="263"/>
      <c r="AJ52" s="263"/>
      <c r="AK52" s="263"/>
      <c r="AL52" s="618"/>
      <c r="AM52" s="618"/>
      <c r="AN52" s="618"/>
      <c r="AO52" s="618"/>
      <c r="AP52" s="618"/>
      <c r="AQ52" s="618"/>
      <c r="AR52" s="618"/>
      <c r="AS52" s="618"/>
      <c r="AT52" s="263"/>
      <c r="AU52" s="263"/>
      <c r="AV52" s="263"/>
      <c r="AW52" s="263"/>
      <c r="AX52" s="263"/>
    </row>
    <row r="53" spans="1:67" ht="15" customHeight="1" x14ac:dyDescent="0.25">
      <c r="B53" s="544"/>
      <c r="C53" s="535"/>
      <c r="D53" s="536"/>
      <c r="E53" s="366" t="s">
        <v>7</v>
      </c>
      <c r="F53" s="71"/>
      <c r="G53" s="330" t="s">
        <v>1</v>
      </c>
      <c r="H53" s="331"/>
      <c r="I53" s="332"/>
      <c r="J53" s="36"/>
      <c r="L53" s="331"/>
      <c r="M53" s="332"/>
      <c r="N53" s="36"/>
      <c r="P53" s="331"/>
      <c r="Q53" s="332"/>
      <c r="R53" s="36"/>
      <c r="S53" s="267" t="str">
        <f t="shared" si="46"/>
        <v/>
      </c>
      <c r="T53" s="267" t="str">
        <f t="shared" si="47"/>
        <v/>
      </c>
      <c r="U53" s="267" t="str">
        <f t="shared" si="48"/>
        <v/>
      </c>
      <c r="V53" s="267" t="str">
        <f t="shared" si="12"/>
        <v>ok</v>
      </c>
      <c r="X53" s="316" t="str">
        <f t="shared" si="13"/>
        <v/>
      </c>
      <c r="Y53" s="317" t="str">
        <f t="shared" si="14"/>
        <v/>
      </c>
      <c r="Z53" s="318" t="str">
        <f t="shared" si="15"/>
        <v/>
      </c>
      <c r="AA53" s="302" t="str">
        <f t="shared" si="44"/>
        <v/>
      </c>
      <c r="AB53" s="320"/>
      <c r="AC53" s="262"/>
      <c r="AD53" s="262"/>
      <c r="AE53" s="263"/>
      <c r="AF53" s="263"/>
      <c r="AG53" s="263"/>
      <c r="AH53" s="263"/>
      <c r="AI53" s="263"/>
      <c r="AJ53" s="263"/>
      <c r="AK53" s="263"/>
      <c r="AL53" s="603" t="str">
        <f>IF(OR($Q$17="",$R$21="",$R$21=0),"",CONCATENATE("(rdt moy = ",$R$21," T/ha)"))</f>
        <v/>
      </c>
      <c r="AM53" s="603"/>
      <c r="AN53" s="603"/>
      <c r="AO53" s="603"/>
      <c r="AP53" s="603"/>
      <c r="AQ53" s="603"/>
      <c r="AR53" s="603"/>
      <c r="AS53" s="603"/>
      <c r="AT53" s="263"/>
      <c r="AU53" s="263"/>
      <c r="AV53" s="263"/>
      <c r="AW53" s="263"/>
      <c r="AX53" s="263"/>
    </row>
    <row r="54" spans="1:67" ht="15" customHeight="1" thickBot="1" x14ac:dyDescent="0.3">
      <c r="B54" s="545"/>
      <c r="C54" s="537"/>
      <c r="D54" s="538"/>
      <c r="E54" s="367" t="s">
        <v>7</v>
      </c>
      <c r="F54" s="80"/>
      <c r="G54" s="368" t="s">
        <v>1</v>
      </c>
      <c r="H54" s="369"/>
      <c r="I54" s="370"/>
      <c r="J54" s="37"/>
      <c r="L54" s="369"/>
      <c r="M54" s="370"/>
      <c r="N54" s="37"/>
      <c r="P54" s="369"/>
      <c r="Q54" s="370"/>
      <c r="R54" s="37"/>
      <c r="S54" s="267" t="str">
        <f t="shared" si="46"/>
        <v/>
      </c>
      <c r="T54" s="267" t="str">
        <f t="shared" si="47"/>
        <v/>
      </c>
      <c r="U54" s="267" t="str">
        <f t="shared" si="48"/>
        <v/>
      </c>
      <c r="V54" s="267" t="str">
        <f t="shared" si="12"/>
        <v>ok</v>
      </c>
      <c r="X54" s="371" t="str">
        <f t="shared" si="13"/>
        <v/>
      </c>
      <c r="Y54" s="372" t="str">
        <f t="shared" si="14"/>
        <v/>
      </c>
      <c r="Z54" s="373" t="str">
        <f t="shared" si="15"/>
        <v/>
      </c>
      <c r="AA54" s="302" t="str">
        <f t="shared" si="44"/>
        <v/>
      </c>
      <c r="AB54" s="320"/>
      <c r="AC54" s="320"/>
      <c r="AD54" s="263"/>
      <c r="AE54" s="263"/>
      <c r="AF54" s="263"/>
      <c r="AG54" s="263"/>
      <c r="AH54" s="263"/>
      <c r="AI54" s="263"/>
      <c r="AJ54" s="263"/>
      <c r="AK54" s="263"/>
      <c r="AL54" s="263"/>
      <c r="AM54" s="263"/>
      <c r="AN54" s="263"/>
      <c r="AO54" s="263"/>
      <c r="AP54" s="263"/>
      <c r="AQ54" s="263"/>
      <c r="AR54" s="263"/>
      <c r="AS54" s="263"/>
      <c r="AT54" s="263"/>
      <c r="AU54" s="263"/>
      <c r="AV54" s="263"/>
      <c r="AW54" s="263"/>
      <c r="AX54" s="263"/>
    </row>
    <row r="55" spans="1:67" ht="21.75" thickBot="1" x14ac:dyDescent="0.4">
      <c r="A55" s="374"/>
      <c r="B55" s="375" t="s">
        <v>84</v>
      </c>
      <c r="C55" s="375"/>
      <c r="D55" s="375"/>
      <c r="E55" s="375"/>
      <c r="F55" s="375"/>
      <c r="G55" s="375"/>
      <c r="H55" s="375"/>
      <c r="I55" s="375"/>
      <c r="J55" s="375"/>
      <c r="K55" s="375"/>
      <c r="L55" s="375"/>
      <c r="M55" s="375"/>
      <c r="N55" s="375"/>
      <c r="O55" s="375"/>
      <c r="P55" s="375"/>
      <c r="Q55" s="375"/>
      <c r="R55" s="375"/>
      <c r="S55" s="376"/>
      <c r="T55" s="376"/>
      <c r="U55" s="376"/>
      <c r="V55" s="377"/>
      <c r="W55" s="378"/>
      <c r="X55" s="376"/>
      <c r="Y55" s="376"/>
      <c r="Z55" s="376"/>
      <c r="AA55" s="302"/>
      <c r="AB55" s="379"/>
      <c r="AC55" s="320"/>
      <c r="AD55" s="263"/>
      <c r="AE55" s="263"/>
      <c r="AF55" s="263"/>
      <c r="AG55" s="263"/>
      <c r="AH55" s="263"/>
      <c r="AI55" s="263"/>
      <c r="AJ55" s="263"/>
      <c r="AK55" s="263"/>
      <c r="AL55" s="263"/>
      <c r="AM55" s="263"/>
      <c r="AN55" s="263"/>
      <c r="AO55" s="263"/>
      <c r="AP55" s="263"/>
      <c r="AQ55" s="263"/>
      <c r="AR55" s="263"/>
      <c r="AS55" s="263"/>
      <c r="AT55" s="263"/>
      <c r="AU55" s="263"/>
      <c r="AV55" s="263"/>
      <c r="AW55" s="263"/>
      <c r="AX55" s="263"/>
    </row>
    <row r="56" spans="1:67" ht="15" customHeight="1" x14ac:dyDescent="0.25">
      <c r="B56" s="543" t="s">
        <v>40</v>
      </c>
      <c r="C56" s="527" t="s">
        <v>49</v>
      </c>
      <c r="D56" s="529"/>
      <c r="E56" s="380" t="s">
        <v>11</v>
      </c>
      <c r="F56" s="171"/>
      <c r="G56" s="381" t="s">
        <v>1</v>
      </c>
      <c r="H56" s="382"/>
      <c r="I56" s="383"/>
      <c r="J56" s="177"/>
      <c r="L56" s="382"/>
      <c r="M56" s="383"/>
      <c r="N56" s="177"/>
      <c r="P56" s="382"/>
      <c r="Q56" s="383"/>
      <c r="R56" s="177"/>
      <c r="S56" s="267" t="str">
        <f t="shared" ref="S56:S62" si="49">IF(AND(H56="",I56="",J56=""),"",IF($I$17="","/0\",IF(AND(OR(H56=0,H56=""),OR(I56=0,I56=""),OR(J56=0,J56="")),0,IF(AND(OR(H56=0,H56=""),OR(I56=0,I56=""),J56&lt;&gt;""),J56,IF(AND(AND(H56&lt;&gt;"",H56&lt;&gt;0),AND(I56&lt;&gt;"",I56&lt;&gt;0),OR(J56="",J56=0)),H56*I56,IF(AND(OR(H56&gt;0,I56&gt;0),J56&gt;0),"/1\"," /2\ "))))))</f>
        <v/>
      </c>
      <c r="T56" s="267" t="str">
        <f t="shared" ref="T56:T62" si="50">IF(AND(L56="",M56="",N56=""),"",IF($M$17="","/0'\",IF(AND(OR(L56=0,L56=""),OR(M56=0,M56=""),OR(N56=0,N56="")),0,IF(AND(OR(L56=0,L56=""),OR(M56=0,M56=""),N56&lt;&gt;""),N56,IF(AND(AND(L56&lt;&gt;"",L56&lt;&gt;0),AND(M56&lt;&gt;"",M56&lt;&gt;0),OR(N56="",N56=0)),L56*M56,IF(AND(OR(L56&gt;0,M56&gt;0),N56&gt;0),"/1\"," /2\ "))))))</f>
        <v/>
      </c>
      <c r="U56" s="267" t="str">
        <f t="shared" ref="U56:U62" si="51">IF(AND(P56="",Q56="",R56=""),"",IF($Q$17="","/0''\",IF(AND(OR(P56=0,P56=""),OR(Q56=0,Q56=""),OR(R56=0,R56="")),0,IF(AND(OR(P56=0,P56=""),OR(Q56=0,Q56=""),R56&lt;&gt;""),R56,IF(AND(AND(P56&lt;&gt;"",P56&lt;&gt;0),AND(Q56&lt;&gt;"",Q56&lt;&gt;0),OR(R56="",R56=0)),P56*Q56,IF(AND(OR(P56&gt;0,Q56&gt;0),R56&gt;0),"/1\"," /2\ "))))))</f>
        <v/>
      </c>
      <c r="V56" s="267" t="str">
        <f t="shared" si="12"/>
        <v>ok</v>
      </c>
      <c r="X56" s="384" t="str">
        <f t="shared" ref="X56:X63" si="52">IF(OR(S56="",S56=""),"",IF(AND(OR(S56&lt;&gt;"",S56&lt;&gt;0),T56="",U56=""),"  /3\  ",IF(AND(OR(T56&lt;&gt;"",U56&lt;&gt;""),S56=""),"   /4\   ",S56)))</f>
        <v/>
      </c>
      <c r="Y56" s="385" t="str">
        <f t="shared" ref="Y56:Y63" si="53">IF(OR(T56="",T56=""),"",IF(AND(OR(S56&lt;&gt;"",S56&lt;&gt;0),T56="",U56=""),"  /3\  ",IF(AND(OR(T56&lt;&gt;"",U56&lt;&gt;""),S56=""),"   /4\   ",T56)))</f>
        <v/>
      </c>
      <c r="Z56" s="386" t="str">
        <f t="shared" ref="Z56:Z63" si="54">IF(OR(U56="",U56=""),"",IF(AND(OR(S56&lt;&gt;"",S56&lt;&gt;0),T56="",U56=""),"  /3\  ",IF(AND(OR(T56&lt;&gt;"",U56&lt;&gt;""),S56=""),"   /4\   ",U56)))</f>
        <v/>
      </c>
      <c r="AA56" s="302" t="str">
        <f t="shared" ref="AA56:AA63" si="55">IF(ISERROR(HLOOKUP($T$12,X56:Z56,1,FALSE))=FALSE,VLOOKUP($T$12,$T$12:$U$19,2,FALSE),IF(ISERROR(HLOOKUP($T$13,X56:Z56,1,FALSE))=FALSE,VLOOKUP($T$13,$T$12:$U$19,2,FALSE),IF(ISERROR(HLOOKUP($T$14,X56:Z56,1,FALSE))=FALSE,VLOOKUP($T$14,$T$12:$U$19,2,FALSE),IF(ISERROR(HLOOKUP($T$15,X56:Z56,1,FALSE))=FALSE,VLOOKUP($T$15,$T$12:$U$19,2,FALSE),IF(ISERROR(HLOOKUP($T$16,X56:Z56,1,FALSE))=FALSE,VLOOKUP($T$16,$T$12:$U$19,2,FALSE),IF(ISERROR(HLOOKUP($T$17,X56:Z56,1,FALSE))=FALSE,VLOOKUP($T$17,$T$12:$U$19,2,FALSE),IF(ISERROR(HLOOKUP($T$18,X56:Z56,1,FALSE))=FALSE,VLOOKUP($T$18,$T$12:$U$19,2,FALSE),IF(ISERROR(HLOOKUP($T$19,X56:Z56,1,FALSE))=FALSE,VLOOKUP($T$19,$T$12:$U$19,2,FALSE),""))))))))</f>
        <v/>
      </c>
      <c r="AB56" s="320"/>
      <c r="AC56" s="320"/>
      <c r="AD56" s="263"/>
      <c r="AE56" s="263"/>
      <c r="AF56" s="263"/>
      <c r="AG56" s="263"/>
      <c r="AH56" s="263"/>
      <c r="AI56" s="263"/>
      <c r="AJ56" s="263"/>
      <c r="AK56" s="263"/>
      <c r="AL56" s="263"/>
      <c r="AM56" s="263"/>
      <c r="AN56" s="263"/>
      <c r="AO56" s="263"/>
      <c r="AP56" s="263"/>
      <c r="AQ56" s="263"/>
      <c r="AR56" s="263"/>
      <c r="AS56" s="263"/>
      <c r="AT56" s="263"/>
      <c r="AU56" s="263"/>
      <c r="AV56" s="263"/>
      <c r="AW56" s="263"/>
      <c r="AX56" s="263"/>
    </row>
    <row r="57" spans="1:67" ht="32.25" customHeight="1" x14ac:dyDescent="0.25">
      <c r="B57" s="544"/>
      <c r="C57" s="539"/>
      <c r="D57" s="540"/>
      <c r="E57" s="387" t="s">
        <v>201</v>
      </c>
      <c r="F57" s="172"/>
      <c r="G57" s="388" t="s">
        <v>1</v>
      </c>
      <c r="H57" s="331"/>
      <c r="I57" s="332"/>
      <c r="J57" s="178"/>
      <c r="L57" s="331"/>
      <c r="M57" s="332"/>
      <c r="N57" s="178"/>
      <c r="P57" s="331"/>
      <c r="Q57" s="332"/>
      <c r="R57" s="178"/>
      <c r="S57" s="267" t="str">
        <f t="shared" si="49"/>
        <v/>
      </c>
      <c r="T57" s="267" t="str">
        <f t="shared" si="50"/>
        <v/>
      </c>
      <c r="U57" s="267" t="str">
        <f t="shared" si="51"/>
        <v/>
      </c>
      <c r="V57" s="267" t="str">
        <f t="shared" si="12"/>
        <v>ok</v>
      </c>
      <c r="X57" s="316" t="str">
        <f t="shared" si="52"/>
        <v/>
      </c>
      <c r="Y57" s="317" t="str">
        <f t="shared" si="53"/>
        <v/>
      </c>
      <c r="Z57" s="318" t="str">
        <f t="shared" si="54"/>
        <v/>
      </c>
      <c r="AA57" s="389" t="str">
        <f t="shared" si="55"/>
        <v/>
      </c>
      <c r="AB57" s="390"/>
      <c r="AC57" s="390"/>
      <c r="AD57" s="237"/>
    </row>
    <row r="58" spans="1:67" ht="15" customHeight="1" x14ac:dyDescent="0.25">
      <c r="B58" s="544"/>
      <c r="C58" s="541"/>
      <c r="D58" s="542"/>
      <c r="E58" s="391" t="s">
        <v>10</v>
      </c>
      <c r="F58" s="173"/>
      <c r="G58" s="392" t="s">
        <v>1</v>
      </c>
      <c r="H58" s="348"/>
      <c r="I58" s="349"/>
      <c r="J58" s="170"/>
      <c r="L58" s="348"/>
      <c r="M58" s="349"/>
      <c r="N58" s="170"/>
      <c r="P58" s="348"/>
      <c r="Q58" s="349"/>
      <c r="R58" s="170"/>
      <c r="S58" s="267" t="str">
        <f t="shared" si="49"/>
        <v/>
      </c>
      <c r="T58" s="267" t="str">
        <f t="shared" si="50"/>
        <v/>
      </c>
      <c r="U58" s="267" t="str">
        <f t="shared" si="51"/>
        <v/>
      </c>
      <c r="V58" s="267" t="str">
        <f t="shared" si="12"/>
        <v>ok</v>
      </c>
      <c r="X58" s="393" t="str">
        <f t="shared" si="52"/>
        <v/>
      </c>
      <c r="Y58" s="394" t="str">
        <f t="shared" si="53"/>
        <v/>
      </c>
      <c r="Z58" s="395" t="str">
        <f t="shared" si="54"/>
        <v/>
      </c>
      <c r="AA58" s="302" t="str">
        <f t="shared" si="55"/>
        <v/>
      </c>
      <c r="AB58" s="390"/>
      <c r="AC58" s="390"/>
      <c r="AD58" s="237"/>
    </row>
    <row r="59" spans="1:67" ht="15" customHeight="1" x14ac:dyDescent="0.25">
      <c r="B59" s="544"/>
      <c r="C59" s="539" t="s">
        <v>50</v>
      </c>
      <c r="D59" s="540"/>
      <c r="E59" s="366" t="s">
        <v>8</v>
      </c>
      <c r="F59" s="174"/>
      <c r="G59" s="396" t="s">
        <v>1</v>
      </c>
      <c r="H59" s="397"/>
      <c r="I59" s="398"/>
      <c r="J59" s="179"/>
      <c r="L59" s="397"/>
      <c r="M59" s="398"/>
      <c r="N59" s="179"/>
      <c r="P59" s="397"/>
      <c r="Q59" s="398"/>
      <c r="R59" s="179"/>
      <c r="S59" s="267" t="str">
        <f t="shared" si="49"/>
        <v/>
      </c>
      <c r="T59" s="267" t="str">
        <f t="shared" si="50"/>
        <v/>
      </c>
      <c r="U59" s="267" t="str">
        <f t="shared" si="51"/>
        <v/>
      </c>
      <c r="V59" s="267" t="str">
        <f t="shared" si="12"/>
        <v>ok</v>
      </c>
      <c r="X59" s="363" t="str">
        <f t="shared" si="52"/>
        <v/>
      </c>
      <c r="Y59" s="364" t="str">
        <f t="shared" si="53"/>
        <v/>
      </c>
      <c r="Z59" s="365" t="str">
        <f t="shared" si="54"/>
        <v/>
      </c>
      <c r="AA59" s="302" t="str">
        <f t="shared" si="55"/>
        <v/>
      </c>
      <c r="AB59" s="390"/>
      <c r="AC59" s="390"/>
      <c r="AD59" s="237"/>
    </row>
    <row r="60" spans="1:67" ht="15" customHeight="1" x14ac:dyDescent="0.25">
      <c r="B60" s="544"/>
      <c r="C60" s="541"/>
      <c r="D60" s="542"/>
      <c r="E60" s="391" t="s">
        <v>9</v>
      </c>
      <c r="F60" s="173"/>
      <c r="G60" s="392" t="s">
        <v>1</v>
      </c>
      <c r="H60" s="348"/>
      <c r="I60" s="349"/>
      <c r="J60" s="170"/>
      <c r="L60" s="348"/>
      <c r="M60" s="349"/>
      <c r="N60" s="170"/>
      <c r="P60" s="348"/>
      <c r="Q60" s="349"/>
      <c r="R60" s="170"/>
      <c r="S60" s="267" t="str">
        <f t="shared" si="49"/>
        <v/>
      </c>
      <c r="T60" s="267" t="str">
        <f t="shared" si="50"/>
        <v/>
      </c>
      <c r="U60" s="267" t="str">
        <f t="shared" si="51"/>
        <v/>
      </c>
      <c r="V60" s="267" t="str">
        <f t="shared" si="12"/>
        <v>ok</v>
      </c>
      <c r="X60" s="393" t="str">
        <f t="shared" si="52"/>
        <v/>
      </c>
      <c r="Y60" s="394" t="str">
        <f t="shared" si="53"/>
        <v/>
      </c>
      <c r="Z60" s="395" t="str">
        <f t="shared" si="54"/>
        <v/>
      </c>
      <c r="AA60" s="302" t="str">
        <f t="shared" si="55"/>
        <v/>
      </c>
      <c r="AB60" s="390"/>
      <c r="AC60" s="390"/>
      <c r="AD60" s="237"/>
    </row>
    <row r="61" spans="1:67" ht="15" customHeight="1" x14ac:dyDescent="0.25">
      <c r="B61" s="544"/>
      <c r="C61" s="546" t="s">
        <v>51</v>
      </c>
      <c r="D61" s="547"/>
      <c r="E61" s="547"/>
      <c r="F61" s="175"/>
      <c r="G61" s="399" t="s">
        <v>1</v>
      </c>
      <c r="H61" s="400"/>
      <c r="I61" s="401"/>
      <c r="J61" s="180"/>
      <c r="L61" s="400"/>
      <c r="M61" s="401"/>
      <c r="N61" s="180"/>
      <c r="P61" s="400"/>
      <c r="Q61" s="401"/>
      <c r="R61" s="180"/>
      <c r="S61" s="267" t="str">
        <f t="shared" si="49"/>
        <v/>
      </c>
      <c r="T61" s="267" t="str">
        <f t="shared" si="50"/>
        <v/>
      </c>
      <c r="U61" s="267" t="str">
        <f t="shared" si="51"/>
        <v/>
      </c>
      <c r="V61" s="267" t="str">
        <f t="shared" si="12"/>
        <v>ok</v>
      </c>
      <c r="X61" s="350" t="str">
        <f t="shared" si="52"/>
        <v/>
      </c>
      <c r="Y61" s="351" t="str">
        <f t="shared" si="53"/>
        <v/>
      </c>
      <c r="Z61" s="352" t="str">
        <f t="shared" si="54"/>
        <v/>
      </c>
      <c r="AA61" s="302" t="str">
        <f t="shared" si="55"/>
        <v/>
      </c>
      <c r="AB61" s="390"/>
      <c r="AD61" s="237"/>
    </row>
    <row r="62" spans="1:67" ht="30" customHeight="1" x14ac:dyDescent="0.25">
      <c r="B62" s="544"/>
      <c r="C62" s="548" t="s">
        <v>81</v>
      </c>
      <c r="D62" s="549"/>
      <c r="E62" s="550"/>
      <c r="F62" s="173"/>
      <c r="G62" s="392" t="s">
        <v>1</v>
      </c>
      <c r="H62" s="348"/>
      <c r="I62" s="349"/>
      <c r="J62" s="170"/>
      <c r="L62" s="348"/>
      <c r="M62" s="349"/>
      <c r="N62" s="170"/>
      <c r="P62" s="348"/>
      <c r="Q62" s="349"/>
      <c r="R62" s="170"/>
      <c r="S62" s="267" t="str">
        <f t="shared" si="49"/>
        <v/>
      </c>
      <c r="T62" s="267" t="str">
        <f t="shared" si="50"/>
        <v/>
      </c>
      <c r="U62" s="267" t="str">
        <f t="shared" si="51"/>
        <v/>
      </c>
      <c r="V62" s="267" t="str">
        <f t="shared" ref="V62" si="56">IF(AND(ISERROR(SEARCH("/",X62,1)),ISERROR(SEARCH("/",Y62,1)),ISERROR(SEARCH("/",Z62,1))),"ok","err")</f>
        <v>ok</v>
      </c>
      <c r="X62" s="402" t="str">
        <f t="shared" si="52"/>
        <v/>
      </c>
      <c r="Y62" s="403" t="str">
        <f t="shared" si="53"/>
        <v/>
      </c>
      <c r="Z62" s="404" t="str">
        <f t="shared" si="54"/>
        <v/>
      </c>
      <c r="AA62" s="302" t="str">
        <f t="shared" si="55"/>
        <v/>
      </c>
      <c r="AB62" s="390"/>
      <c r="AD62" s="237"/>
    </row>
    <row r="63" spans="1:67" ht="18.75" customHeight="1" thickBot="1" x14ac:dyDescent="0.3">
      <c r="B63" s="544"/>
      <c r="C63" s="554" t="s">
        <v>109</v>
      </c>
      <c r="D63" s="555"/>
      <c r="E63" s="556"/>
      <c r="F63" s="176"/>
      <c r="G63" s="405" t="s">
        <v>1</v>
      </c>
      <c r="H63" s="369"/>
      <c r="I63" s="370"/>
      <c r="J63" s="181"/>
      <c r="L63" s="369"/>
      <c r="M63" s="370"/>
      <c r="N63" s="181"/>
      <c r="P63" s="369"/>
      <c r="Q63" s="370"/>
      <c r="R63" s="181"/>
      <c r="S63" s="267" t="str">
        <f>IF(AND(H63="",I63="",J63=""),"",IF($I$17="","/0\",IF(AND(OR(H63=0,H63=""),OR(I63=0,I63=""),OR(J63=0,J63="")),0,IF(AND(OR(H63=0,H63=""),OR(I63=0,I63=""),J63&lt;&gt;""),J63,IF(AND(AND(H63&lt;&gt;"",H63&lt;&gt;0),AND(I63&lt;&gt;"",I63&lt;&gt;0),OR(J63="",J63=0)),H63*I63,IF(AND(OR(H63&gt;0,I63&gt;0),J63&gt;0),"/1\"," /2\ "))))))</f>
        <v/>
      </c>
      <c r="T63" s="267" t="str">
        <f>IF(AND(L63="",M63="",N63=""),"",IF($M$17="","/0'\",IF(AND(OR(L63=0,L63=""),OR(M63=0,M63=""),OR(N63=0,N63="")),0,IF(AND(OR(L63=0,L63=""),OR(M63=0,M63=""),N63&lt;&gt;""),N63,IF(AND(AND(L63&lt;&gt;"",L63&lt;&gt;0),AND(M63&lt;&gt;"",M63&lt;&gt;0),OR(N63="",N63=0)),L63*M63,IF(AND(OR(L63&gt;0,M63&gt;0),N63&gt;0),"/1\"," /2\ "))))))</f>
        <v/>
      </c>
      <c r="U63" s="267" t="str">
        <f>IF(AND(P63="",Q63="",R63=""),"",IF($Q$17="","/0''\",IF(AND(OR(P63=0,P63=""),OR(Q63=0,Q63=""),OR(R63=0,R63="")),0,IF(AND(OR(P63=0,P63=""),OR(Q63=0,Q63=""),R63&lt;&gt;""),R63,IF(AND(AND(P63&lt;&gt;"",P63&lt;&gt;0),AND(Q63&lt;&gt;"",Q63&lt;&gt;0),OR(R63="",R63=0)),P63*Q63,IF(AND(OR(P63&gt;0,Q63&gt;0),R63&gt;0),"/1\"," /2\ "))))))</f>
        <v/>
      </c>
      <c r="V63" s="267" t="str">
        <f t="shared" si="12"/>
        <v>ok</v>
      </c>
      <c r="X63" s="406" t="str">
        <f t="shared" si="52"/>
        <v/>
      </c>
      <c r="Y63" s="407" t="str">
        <f t="shared" si="53"/>
        <v/>
      </c>
      <c r="Z63" s="408" t="str">
        <f t="shared" si="54"/>
        <v/>
      </c>
      <c r="AA63" s="302" t="str">
        <f t="shared" si="55"/>
        <v/>
      </c>
      <c r="AB63" s="390"/>
      <c r="AD63" s="237"/>
    </row>
    <row r="64" spans="1:67" ht="6" customHeight="1" thickBot="1" x14ac:dyDescent="0.3">
      <c r="B64" s="544"/>
      <c r="C64" s="409"/>
      <c r="D64" s="409"/>
      <c r="E64" s="409"/>
      <c r="F64" s="410"/>
      <c r="G64" s="411"/>
      <c r="H64" s="411"/>
      <c r="I64" s="411"/>
      <c r="J64" s="411"/>
      <c r="L64" s="411"/>
      <c r="M64" s="411"/>
      <c r="N64" s="411"/>
      <c r="P64" s="411"/>
      <c r="Q64" s="411"/>
      <c r="R64" s="411"/>
      <c r="S64" s="411"/>
      <c r="T64" s="411"/>
      <c r="U64" s="411"/>
      <c r="V64" s="267"/>
      <c r="AD64" s="237"/>
    </row>
    <row r="65" spans="2:32" ht="15" customHeight="1" x14ac:dyDescent="0.25">
      <c r="B65" s="544"/>
      <c r="C65" s="563" t="s">
        <v>47</v>
      </c>
      <c r="D65" s="564"/>
      <c r="E65" s="412" t="s">
        <v>36</v>
      </c>
      <c r="F65" s="171"/>
      <c r="G65" s="413" t="s">
        <v>205</v>
      </c>
      <c r="H65" s="382"/>
      <c r="I65" s="383"/>
      <c r="J65" s="182"/>
      <c r="L65" s="382"/>
      <c r="M65" s="383"/>
      <c r="N65" s="182"/>
      <c r="P65" s="382"/>
      <c r="Q65" s="383"/>
      <c r="R65" s="182"/>
      <c r="S65" s="414"/>
      <c r="T65" s="414"/>
      <c r="U65" s="414"/>
      <c r="V65" s="267"/>
      <c r="AC65" s="390"/>
      <c r="AD65" s="237"/>
    </row>
    <row r="66" spans="2:32" ht="15.75" thickBot="1" x14ac:dyDescent="0.3">
      <c r="B66" s="544"/>
      <c r="C66" s="565"/>
      <c r="D66" s="566"/>
      <c r="E66" s="415" t="s">
        <v>35</v>
      </c>
      <c r="F66" s="172"/>
      <c r="G66" s="416" t="s">
        <v>208</v>
      </c>
      <c r="H66" s="331"/>
      <c r="I66" s="332"/>
      <c r="J66" s="183"/>
      <c r="L66" s="331"/>
      <c r="M66" s="332"/>
      <c r="N66" s="183"/>
      <c r="P66" s="331"/>
      <c r="Q66" s="332"/>
      <c r="R66" s="183"/>
      <c r="S66" s="417"/>
      <c r="T66" s="417"/>
      <c r="U66" s="417"/>
      <c r="V66" s="267"/>
      <c r="AD66" s="237"/>
    </row>
    <row r="67" spans="2:32" ht="30.75" customHeight="1" thickBot="1" x14ac:dyDescent="0.3">
      <c r="B67" s="545"/>
      <c r="C67" s="567"/>
      <c r="D67" s="568"/>
      <c r="E67" s="418" t="s">
        <v>206</v>
      </c>
      <c r="F67" s="176"/>
      <c r="G67" s="419" t="s">
        <v>207</v>
      </c>
      <c r="H67" s="369"/>
      <c r="I67" s="370"/>
      <c r="J67" s="185"/>
      <c r="L67" s="369"/>
      <c r="M67" s="370"/>
      <c r="N67" s="184"/>
      <c r="P67" s="369"/>
      <c r="Q67" s="370"/>
      <c r="R67" s="184"/>
      <c r="S67" s="420" t="str">
        <f>IF(AND(J65="",J66="",J67=""),"",IF($I$17="","/0\",IF(OR(J65="",J66="",J67=""),"    /5\    ",IF(ISERROR(J67*12*J66/J65),"",IF(J67*12*J66/J65=0,"",J67*12*J66/J65)))))</f>
        <v/>
      </c>
      <c r="T67" s="421" t="str">
        <f>IF(AND(N65="",N66="",N67=""),"",IF($M$17="","/0'\",IF(OR(N65="",N66="",N67=""),"    /5\    ",IF(ISERROR(N67*12*N66/N65),"",IF(N67*12*N66/N65=0,"",N67*12*N66/N65)))))</f>
        <v/>
      </c>
      <c r="U67" s="421" t="str">
        <f>IF(AND(R65="",R66="",R67=""),"",IF($Q$17="","/0''\",IF(OR(R65="",R66="",R67=""),"    /5\    ",IF(ISERROR(R67*12*R66/R65),"",IF(R67*12*R66/R65=0,"",R67*12*R66/R65)))))</f>
        <v/>
      </c>
      <c r="V67" s="422" t="str">
        <f t="shared" ref="V67" si="57">IF(AND(ISERROR(SEARCH("/",X67,1)),ISERROR(SEARCH("/",Y67,1)),ISERROR(SEARCH("/",Z67,1))),"ok","err")</f>
        <v>ok</v>
      </c>
      <c r="X67" s="423" t="str">
        <f>IF(OR(S67="",S67=""),"",IF(AND(OR(S67&lt;&gt;"",S67&lt;&gt;0),T67="",U67=""),"  /3\  ",IF(AND(OR(T67&lt;&gt;"",U67&lt;&gt;""),S67=""),"   /4\   ",S67)))</f>
        <v/>
      </c>
      <c r="Y67" s="424" t="str">
        <f>IF(OR(T67="",T67=""),"",IF(AND(OR(S67&lt;&gt;"",S67&lt;&gt;0),T67="",U67=""),"  /3\  ",IF(AND(OR(T67&lt;&gt;"",U67&lt;&gt;""),S67=""),"   /4\   ",T67)))</f>
        <v/>
      </c>
      <c r="Z67" s="425" t="str">
        <f>IF(OR(U67="",U67=""),"",IF(AND(OR(S67&lt;&gt;"",S67&lt;&gt;0),T67="",U67=""),"  /3\  ",IF(AND(OR(T67&lt;&gt;"",U67&lt;&gt;""),S67=""),"   /4\   ",U67)))</f>
        <v/>
      </c>
      <c r="AA67" s="389" t="str">
        <f>IF(ISERROR(HLOOKUP($T$12,X67:Z67,1,FALSE))=FALSE,VLOOKUP($T$12,$T$12:$U$19,2,FALSE),IF(ISERROR(HLOOKUP($T$13,X67:Z67,1,FALSE))=FALSE,VLOOKUP($T$13,$T$12:$U$19,2,FALSE),IF(ISERROR(HLOOKUP($T$14,X67:Z67,1,FALSE))=FALSE,VLOOKUP($T$14,$T$12:$U$19,2,FALSE),IF(ISERROR(HLOOKUP($T$15,X67:Z67,1,FALSE))=FALSE,VLOOKUP($T$15,$T$12:$U$19,2,FALSE),IF(ISERROR(HLOOKUP($T$16,X67:Z67,1,FALSE))=FALSE,VLOOKUP($T$16,$T$12:$U$19,2,FALSE),IF(ISERROR(HLOOKUP($T$17,X67:Z67,1,FALSE))=FALSE,VLOOKUP($T$17,$T$12:$U$19,2,FALSE),IF(ISERROR(HLOOKUP($T$18,X67:Z67,1,FALSE))=FALSE,VLOOKUP($T$18,$T$12:$U$19,2,FALSE),IF(ISERROR(HLOOKUP($T$19,X67:Z67,1,FALSE))=FALSE,VLOOKUP($T$19,$T$12:$U$19,2,FALSE),""))))))))</f>
        <v/>
      </c>
      <c r="AB67" s="390"/>
      <c r="AC67" s="426"/>
      <c r="AD67" s="237"/>
    </row>
    <row r="68" spans="2:32" ht="6" customHeight="1" thickBot="1" x14ac:dyDescent="0.3">
      <c r="C68" s="427"/>
      <c r="D68" s="427"/>
      <c r="F68" s="428"/>
      <c r="G68" s="429"/>
      <c r="H68" s="429"/>
      <c r="I68" s="429"/>
      <c r="J68" s="430"/>
      <c r="L68" s="429"/>
      <c r="M68" s="429"/>
      <c r="N68" s="430"/>
      <c r="P68" s="429"/>
      <c r="Q68" s="429"/>
      <c r="R68" s="430"/>
      <c r="S68" s="414"/>
      <c r="T68" s="431"/>
      <c r="U68" s="431"/>
      <c r="V68" s="267"/>
      <c r="AE68" s="39"/>
      <c r="AF68" s="39"/>
    </row>
    <row r="69" spans="2:32" ht="15" customHeight="1" x14ac:dyDescent="0.25">
      <c r="B69" s="527" t="s">
        <v>41</v>
      </c>
      <c r="C69" s="528"/>
      <c r="D69" s="529"/>
      <c r="E69" s="432" t="s">
        <v>28</v>
      </c>
      <c r="F69" s="186"/>
      <c r="G69" s="433" t="s">
        <v>48</v>
      </c>
      <c r="H69" s="434"/>
      <c r="I69" s="187"/>
      <c r="J69" s="435"/>
      <c r="L69" s="434"/>
      <c r="M69" s="187"/>
      <c r="N69" s="435"/>
      <c r="P69" s="434"/>
      <c r="Q69" s="187"/>
      <c r="R69" s="435"/>
      <c r="S69" s="357" t="str">
        <f>IF(I69="","",IF($I$17="","/0\",I69))</f>
        <v/>
      </c>
      <c r="T69" s="357" t="str">
        <f>IF(M69="","",IF($M$17="","/0'\",M69))</f>
        <v/>
      </c>
      <c r="U69" s="357" t="str">
        <f>IF(Q69="","",IF($Q$17="","/0''\",Q69))</f>
        <v/>
      </c>
      <c r="V69" s="267" t="str">
        <f t="shared" ref="V69" si="58">IF(AND(ISERROR(SEARCH("/",X69,1)),ISERROR(SEARCH("/",Y69,1)),ISERROR(SEARCH("/",Z69,1))),"ok","err")</f>
        <v>ok</v>
      </c>
      <c r="X69" s="384" t="str">
        <f t="shared" ref="X69:X70" si="59">IF(OR(S69="",S69=""),"",IF(AND(OR(S69&lt;&gt;"",S69&lt;&gt;0),T69="",U69=""),"  /3\  ",IF(AND(OR(T69&lt;&gt;"",U69&lt;&gt;""),S69=""),"   /4\   ",S69)))</f>
        <v/>
      </c>
      <c r="Y69" s="385" t="str">
        <f t="shared" ref="Y69:Y70" si="60">IF(OR(T69="",T69=""),"",IF(AND(OR(S69&lt;&gt;"",S69&lt;&gt;0),T69="",U69=""),"  /3\  ",IF(AND(OR(T69&lt;&gt;"",U69&lt;&gt;""),S69=""),"   /4\   ",T69)))</f>
        <v/>
      </c>
      <c r="Z69" s="386" t="str">
        <f t="shared" ref="Z69:Z70" si="61">IF(OR(U69="",U69=""),"",IF(AND(OR(S69&lt;&gt;"",S69&lt;&gt;0),T69="",U69=""),"  /3\  ",IF(AND(OR(T69&lt;&gt;"",U69&lt;&gt;""),S69=""),"   /4\   ",U69)))</f>
        <v/>
      </c>
      <c r="AA69" s="302" t="str">
        <f>IF(ISERROR(HLOOKUP($T$12,X69:Z69,1,FALSE))=FALSE,VLOOKUP($T$12,$T$12:$U$19,2,FALSE),IF(ISERROR(HLOOKUP($T$13,X69:Z69,1,FALSE))=FALSE,VLOOKUP($T$13,$T$12:$U$19,2,FALSE),IF(ISERROR(HLOOKUP($T$14,X69:Z69,1,FALSE))=FALSE,VLOOKUP($T$14,$T$12:$U$19,2,FALSE),IF(ISERROR(HLOOKUP($T$15,X69:Z69,1,FALSE))=FALSE,VLOOKUP($T$15,$T$12:$U$19,2,FALSE),IF(ISERROR(HLOOKUP($T$16,X69:Z69,1,FALSE))=FALSE,VLOOKUP($T$16,$T$12:$U$19,2,FALSE),IF(ISERROR(HLOOKUP($T$17,X69:Z69,1,FALSE))=FALSE,VLOOKUP($T$17,$T$12:$U$19,2,FALSE),IF(ISERROR(HLOOKUP($T$18,X69:Z69,1,FALSE))=FALSE,VLOOKUP($T$18,$T$12:$U$19,2,FALSE),IF(ISERROR(HLOOKUP($T$19,X69:Z69,1,FALSE))=FALSE,VLOOKUP($T$19,$T$12:$U$19,2,FALSE),""))))))))</f>
        <v/>
      </c>
      <c r="AB69" s="390"/>
      <c r="AE69" s="39"/>
      <c r="AF69" s="39"/>
    </row>
    <row r="70" spans="2:32" ht="15.75" thickBot="1" x14ac:dyDescent="0.3">
      <c r="B70" s="530"/>
      <c r="C70" s="531"/>
      <c r="D70" s="532"/>
      <c r="E70" s="436" t="s">
        <v>165</v>
      </c>
      <c r="F70" s="176"/>
      <c r="G70" s="419" t="s">
        <v>1</v>
      </c>
      <c r="H70" s="369"/>
      <c r="I70" s="370"/>
      <c r="J70" s="181"/>
      <c r="L70" s="369"/>
      <c r="M70" s="370"/>
      <c r="N70" s="181"/>
      <c r="P70" s="369"/>
      <c r="Q70" s="370"/>
      <c r="R70" s="181"/>
      <c r="S70" s="267" t="str">
        <f>IF(AND(H70="",I70="",J70=""),"",IF($I$17="","/0\",IF(AND(OR(H70=0,H70=""),OR(I70=0,I70=""),OR(J70=0,J70="")),0,IF(AND(OR(H70=0,H70=""),OR(I70=0,I70=""),J70&lt;&gt;""),J70,IF(AND(AND(H70&lt;&gt;"",H70&lt;&gt;0),AND(I70&lt;&gt;"",I70&lt;&gt;0),OR(J70="",J70=0)),H70*I70,IF(AND(OR(H70&gt;0,I70&gt;0),J70&gt;0),"/1\"," /2\ "))))))</f>
        <v/>
      </c>
      <c r="T70" s="267" t="str">
        <f>IF(AND(L70="",M70="",N70=""),"",IF($M$17="","/0'\",IF(AND(OR(L70=0,L70=""),OR(M70=0,M70=""),OR(N70=0,N70="")),0,IF(AND(OR(L70=0,L70=""),OR(M70=0,M70=""),N70&lt;&gt;""),N70,IF(AND(AND(L70&lt;&gt;"",L70&lt;&gt;0),AND(M70&lt;&gt;"",M70&lt;&gt;0),OR(N70="",N70=0)),L70*M70,IF(AND(OR(L70&gt;0,M70&gt;0),N70&gt;0),"/1\"," /2\ "))))))</f>
        <v/>
      </c>
      <c r="U70" s="267" t="str">
        <f>IF(AND(P70="",Q70="",R70=""),"",IF($Q$17="","/0''\",IF(AND(OR(P70=0,P70=""),OR(Q70=0,Q70=""),OR(R70=0,R70="")),0,IF(AND(OR(P70=0,P70=""),OR(Q70=0,Q70=""),R70&lt;&gt;""),R70,IF(AND(AND(P70&lt;&gt;"",P70&lt;&gt;0),AND(Q70&lt;&gt;"",Q70&lt;&gt;0),OR(R70="",R70=0)),P70*Q70,IF(AND(OR(P70&gt;0,Q70&gt;0),R70&gt;0),"/1\"," /2\ "))))))</f>
        <v/>
      </c>
      <c r="V70" s="267" t="str">
        <f t="shared" ref="V70" si="62">IF(AND(ISERROR(SEARCH("/",X70,1)),ISERROR(SEARCH("/",Y70,1)),ISERROR(SEARCH("/",Z70,1))),"ok","err")</f>
        <v>ok</v>
      </c>
      <c r="X70" s="371" t="str">
        <f t="shared" si="59"/>
        <v/>
      </c>
      <c r="Y70" s="372" t="str">
        <f t="shared" si="60"/>
        <v/>
      </c>
      <c r="Z70" s="373" t="str">
        <f t="shared" si="61"/>
        <v/>
      </c>
      <c r="AA70" s="302" t="str">
        <f>IF(ISERROR(HLOOKUP($T$12,X70:Z70,1,FALSE))=FALSE,VLOOKUP($T$12,$T$12:$U$19,2,FALSE),IF(ISERROR(HLOOKUP($T$13,X70:Z70,1,FALSE))=FALSE,VLOOKUP($T$13,$T$12:$U$19,2,FALSE),IF(ISERROR(HLOOKUP($T$14,X70:Z70,1,FALSE))=FALSE,VLOOKUP($T$14,$T$12:$U$19,2,FALSE),IF(ISERROR(HLOOKUP($T$15,X70:Z70,1,FALSE))=FALSE,VLOOKUP($T$15,$T$12:$U$19,2,FALSE),IF(ISERROR(HLOOKUP($T$16,X70:Z70,1,FALSE))=FALSE,VLOOKUP($T$16,$T$12:$U$19,2,FALSE),IF(ISERROR(HLOOKUP($T$17,X70:Z70,1,FALSE))=FALSE,VLOOKUP($T$17,$T$12:$U$19,2,FALSE),IF(ISERROR(HLOOKUP($T$18,X70:Z70,1,FALSE))=FALSE,VLOOKUP($T$18,$T$12:$U$19,2,FALSE),IF(ISERROR(HLOOKUP($T$19,X70:Z70,1,FALSE))=FALSE,VLOOKUP($T$19,$T$12:$U$19,2,FALSE),""))))))))</f>
        <v/>
      </c>
      <c r="AE70" s="39"/>
      <c r="AF70" s="39"/>
    </row>
    <row r="71" spans="2:32" x14ac:dyDescent="0.25">
      <c r="AE71" s="39"/>
      <c r="AF71" s="39"/>
    </row>
    <row r="72" spans="2:32" hidden="1" x14ac:dyDescent="0.25">
      <c r="AE72" s="39"/>
      <c r="AF72" s="39"/>
    </row>
    <row r="73" spans="2:32" hidden="1" x14ac:dyDescent="0.25">
      <c r="AE73" s="39"/>
      <c r="AF73" s="39"/>
    </row>
    <row r="74" spans="2:32" hidden="1" x14ac:dyDescent="0.25">
      <c r="AE74" s="39"/>
      <c r="AF74" s="39"/>
    </row>
    <row r="75" spans="2:32" hidden="1" x14ac:dyDescent="0.25">
      <c r="AE75" s="39"/>
      <c r="AF75" s="39"/>
    </row>
    <row r="76" spans="2:32" hidden="1" x14ac:dyDescent="0.25">
      <c r="AE76" s="39"/>
      <c r="AF76" s="39"/>
    </row>
    <row r="77" spans="2:32" hidden="1" x14ac:dyDescent="0.25">
      <c r="AE77" s="39"/>
      <c r="AF77" s="39"/>
    </row>
    <row r="78" spans="2:32" hidden="1" x14ac:dyDescent="0.25">
      <c r="AE78" s="39"/>
      <c r="AF78" s="39"/>
    </row>
    <row r="79" spans="2:32" hidden="1" x14ac:dyDescent="0.25">
      <c r="AE79" s="39"/>
      <c r="AF79" s="39"/>
    </row>
    <row r="80" spans="2:32" hidden="1" x14ac:dyDescent="0.25">
      <c r="AE80" s="39"/>
      <c r="AF80" s="39"/>
    </row>
    <row r="81" spans="31:32" hidden="1" x14ac:dyDescent="0.25">
      <c r="AE81" s="39"/>
      <c r="AF81" s="39"/>
    </row>
    <row r="82" spans="31:32" hidden="1" x14ac:dyDescent="0.25">
      <c r="AE82" s="39"/>
      <c r="AF82" s="39"/>
    </row>
    <row r="83" spans="31:32" hidden="1" x14ac:dyDescent="0.25">
      <c r="AE83" s="39"/>
      <c r="AF83" s="39"/>
    </row>
    <row r="84" spans="31:32" hidden="1" x14ac:dyDescent="0.25">
      <c r="AE84" s="39"/>
      <c r="AF84" s="39"/>
    </row>
    <row r="85" spans="31:32" hidden="1" x14ac:dyDescent="0.25">
      <c r="AE85" s="39"/>
      <c r="AF85" s="39"/>
    </row>
    <row r="86" spans="31:32" hidden="1" x14ac:dyDescent="0.25">
      <c r="AE86" s="39"/>
      <c r="AF86" s="39"/>
    </row>
    <row r="87" spans="31:32" hidden="1" x14ac:dyDescent="0.25">
      <c r="AE87" s="39"/>
      <c r="AF87" s="39"/>
    </row>
    <row r="88" spans="31:32" hidden="1" x14ac:dyDescent="0.25">
      <c r="AE88" s="39"/>
      <c r="AF88" s="39"/>
    </row>
    <row r="89" spans="31:32" hidden="1" x14ac:dyDescent="0.25">
      <c r="AE89" s="39"/>
      <c r="AF89" s="39"/>
    </row>
    <row r="90" spans="31:32" hidden="1" x14ac:dyDescent="0.25">
      <c r="AE90" s="39"/>
      <c r="AF90" s="39"/>
    </row>
    <row r="91" spans="31:32" hidden="1" x14ac:dyDescent="0.25">
      <c r="AE91" s="39"/>
      <c r="AF91" s="39"/>
    </row>
    <row r="92" spans="31:32" hidden="1" x14ac:dyDescent="0.25">
      <c r="AE92" s="39"/>
      <c r="AF92" s="39"/>
    </row>
    <row r="93" spans="31:32" hidden="1" x14ac:dyDescent="0.25">
      <c r="AE93" s="39"/>
      <c r="AF93" s="39"/>
    </row>
    <row r="94" spans="31:32" hidden="1" x14ac:dyDescent="0.25">
      <c r="AE94" s="39"/>
      <c r="AF94" s="39"/>
    </row>
    <row r="95" spans="31:32" hidden="1" x14ac:dyDescent="0.25">
      <c r="AE95" s="39"/>
      <c r="AF95" s="39"/>
    </row>
    <row r="96" spans="31:32" hidden="1" x14ac:dyDescent="0.25">
      <c r="AE96" s="39"/>
      <c r="AF96" s="39"/>
    </row>
    <row r="97" spans="31:32" hidden="1" x14ac:dyDescent="0.25">
      <c r="AE97" s="39"/>
      <c r="AF97" s="39"/>
    </row>
    <row r="98" spans="31:32" hidden="1" x14ac:dyDescent="0.25">
      <c r="AE98" s="39"/>
      <c r="AF98" s="39"/>
    </row>
    <row r="99" spans="31:32" hidden="1" x14ac:dyDescent="0.25">
      <c r="AE99" s="39"/>
      <c r="AF99" s="39"/>
    </row>
    <row r="100" spans="31:32" hidden="1" x14ac:dyDescent="0.25">
      <c r="AE100" s="39"/>
      <c r="AF100" s="39"/>
    </row>
    <row r="101" spans="31:32" hidden="1" x14ac:dyDescent="0.25">
      <c r="AE101" s="39"/>
      <c r="AF101" s="39"/>
    </row>
    <row r="102" spans="31:32" hidden="1" x14ac:dyDescent="0.25">
      <c r="AE102" s="39"/>
      <c r="AF102" s="39"/>
    </row>
    <row r="103" spans="31:32" hidden="1" x14ac:dyDescent="0.25">
      <c r="AE103" s="39"/>
      <c r="AF103" s="39"/>
    </row>
    <row r="104" spans="31:32" hidden="1" x14ac:dyDescent="0.25">
      <c r="AE104" s="39"/>
      <c r="AF104" s="39"/>
    </row>
    <row r="105" spans="31:32" hidden="1" x14ac:dyDescent="0.25">
      <c r="AE105" s="39"/>
      <c r="AF105" s="39"/>
    </row>
    <row r="106" spans="31:32" hidden="1" x14ac:dyDescent="0.25">
      <c r="AE106" s="39"/>
      <c r="AF106" s="39"/>
    </row>
    <row r="107" spans="31:32" hidden="1" x14ac:dyDescent="0.25">
      <c r="AE107" s="39"/>
      <c r="AF107" s="39"/>
    </row>
    <row r="108" spans="31:32" hidden="1" x14ac:dyDescent="0.25">
      <c r="AE108" s="39"/>
      <c r="AF108" s="39"/>
    </row>
    <row r="109" spans="31:32" hidden="1" x14ac:dyDescent="0.25">
      <c r="AE109" s="39"/>
      <c r="AF109" s="39"/>
    </row>
    <row r="110" spans="31:32" hidden="1" x14ac:dyDescent="0.25">
      <c r="AE110" s="39"/>
      <c r="AF110" s="39"/>
    </row>
    <row r="111" spans="31:32" hidden="1" x14ac:dyDescent="0.25">
      <c r="AE111" s="39"/>
      <c r="AF111" s="39"/>
    </row>
    <row r="112" spans="31:32" hidden="1" x14ac:dyDescent="0.25">
      <c r="AE112" s="39"/>
      <c r="AF112" s="39"/>
    </row>
    <row r="113" spans="1:57" hidden="1" x14ac:dyDescent="0.25">
      <c r="AE113" s="39"/>
      <c r="AF113" s="39"/>
    </row>
    <row r="114" spans="1:57" hidden="1" x14ac:dyDescent="0.25">
      <c r="AE114" s="39"/>
      <c r="AF114" s="39"/>
    </row>
    <row r="115" spans="1:57" hidden="1" x14ac:dyDescent="0.25">
      <c r="AE115" s="39"/>
      <c r="AF115" s="39"/>
    </row>
    <row r="116" spans="1:57" hidden="1" x14ac:dyDescent="0.25">
      <c r="AE116" s="39"/>
      <c r="AF116" s="39"/>
    </row>
    <row r="117" spans="1:57" hidden="1" x14ac:dyDescent="0.25">
      <c r="AE117" s="39"/>
      <c r="AF117" s="39"/>
    </row>
    <row r="118" spans="1:57" hidden="1" x14ac:dyDescent="0.25">
      <c r="AE118" s="39"/>
      <c r="AF118" s="39"/>
    </row>
    <row r="119" spans="1:57" hidden="1" x14ac:dyDescent="0.25">
      <c r="AE119" s="39"/>
      <c r="AF119" s="39"/>
    </row>
    <row r="120" spans="1:57" hidden="1" x14ac:dyDescent="0.25">
      <c r="AE120" s="39"/>
      <c r="AF120" s="39"/>
    </row>
    <row r="121" spans="1:57" hidden="1" x14ac:dyDescent="0.25">
      <c r="AE121" s="39"/>
      <c r="AF121" s="39"/>
    </row>
    <row r="122" spans="1:57" hidden="1" x14ac:dyDescent="0.25">
      <c r="AE122" s="39"/>
      <c r="AF122" s="39"/>
    </row>
    <row r="123" spans="1:57" x14ac:dyDescent="0.25">
      <c r="AE123" s="39"/>
      <c r="AF123" s="39"/>
    </row>
    <row r="124" spans="1:57" hidden="1" x14ac:dyDescent="0.25">
      <c r="A124" s="409"/>
      <c r="B124" s="409"/>
      <c r="C124" s="437" t="s">
        <v>42</v>
      </c>
      <c r="D124" s="437"/>
      <c r="E124" s="409"/>
      <c r="F124" s="438"/>
      <c r="G124" s="438"/>
      <c r="H124" s="438"/>
      <c r="I124" s="438"/>
      <c r="J124" s="438"/>
      <c r="K124" s="438"/>
      <c r="L124" s="438"/>
      <c r="M124" s="438"/>
      <c r="N124" s="438"/>
      <c r="O124" s="438"/>
      <c r="P124" s="438"/>
      <c r="Q124" s="438"/>
      <c r="R124" s="438"/>
      <c r="S124" s="439"/>
      <c r="T124" s="439"/>
      <c r="U124" s="439"/>
      <c r="V124" s="438"/>
      <c r="W124" s="438"/>
      <c r="X124" s="438"/>
      <c r="Y124" s="438"/>
      <c r="Z124" s="438"/>
      <c r="AA124" s="438"/>
      <c r="AE124" s="39"/>
      <c r="AF124" s="39"/>
    </row>
    <row r="125" spans="1:57" hidden="1" x14ac:dyDescent="0.25">
      <c r="A125" s="409"/>
      <c r="B125" s="409"/>
      <c r="C125" s="409"/>
      <c r="D125" s="409"/>
      <c r="E125" s="440"/>
      <c r="F125" s="440"/>
      <c r="G125" s="440"/>
      <c r="H125" s="438"/>
      <c r="I125" s="438"/>
      <c r="J125" s="438"/>
      <c r="K125" s="438"/>
      <c r="L125" s="438"/>
      <c r="M125" s="438"/>
      <c r="N125" s="438"/>
      <c r="O125" s="438"/>
      <c r="P125" s="438"/>
      <c r="Q125" s="438"/>
      <c r="R125" s="438"/>
      <c r="S125" s="439"/>
      <c r="T125" s="439"/>
      <c r="U125" s="439"/>
      <c r="V125" s="438"/>
      <c r="W125" s="438"/>
      <c r="X125" s="438"/>
      <c r="Y125" s="438"/>
      <c r="Z125" s="441"/>
      <c r="AA125" s="441"/>
      <c r="AB125" s="439"/>
      <c r="AC125" s="441"/>
      <c r="AD125" s="441"/>
      <c r="AE125" s="441"/>
      <c r="AF125" s="441"/>
      <c r="AG125" s="282"/>
      <c r="AH125" s="282"/>
      <c r="AI125" s="282"/>
      <c r="AJ125" s="282"/>
      <c r="AK125" s="282"/>
      <c r="AL125" s="282"/>
      <c r="AM125" s="282"/>
      <c r="AN125" s="282"/>
      <c r="AO125" s="282"/>
      <c r="AP125" s="282"/>
      <c r="AQ125" s="282"/>
      <c r="AR125" s="282"/>
    </row>
    <row r="126" spans="1:57" hidden="1" x14ac:dyDescent="0.25">
      <c r="A126" s="409"/>
      <c r="B126" s="409"/>
      <c r="C126" s="409"/>
      <c r="D126" s="409"/>
      <c r="E126" s="409"/>
      <c r="F126" s="438"/>
      <c r="G126" s="438"/>
      <c r="H126" s="438"/>
      <c r="I126" s="438"/>
      <c r="J126" s="438"/>
      <c r="K126" s="438"/>
      <c r="L126" s="438"/>
      <c r="M126" s="438"/>
      <c r="N126" s="438"/>
      <c r="O126" s="438"/>
      <c r="P126" s="438"/>
      <c r="Q126" s="438"/>
      <c r="R126" s="438"/>
      <c r="S126" s="439"/>
      <c r="T126" s="439"/>
      <c r="U126" s="439"/>
      <c r="V126" s="438"/>
      <c r="W126" s="438"/>
      <c r="X126" s="438"/>
      <c r="Y126" s="438"/>
      <c r="Z126" s="441"/>
      <c r="AA126" s="441"/>
      <c r="AB126" s="439"/>
      <c r="AC126" s="441"/>
      <c r="AD126" s="441"/>
      <c r="AE126" s="441"/>
      <c r="AF126" s="441"/>
      <c r="AG126" s="282"/>
      <c r="AH126" s="282"/>
      <c r="AI126" s="282"/>
      <c r="AJ126" s="282"/>
      <c r="AK126" s="282"/>
      <c r="AL126" s="282"/>
      <c r="AM126" s="282"/>
      <c r="AN126" s="282"/>
      <c r="AO126" s="282"/>
      <c r="AP126" s="282"/>
      <c r="AQ126" s="282"/>
      <c r="AR126" s="282"/>
    </row>
    <row r="127" spans="1:57" s="260" customFormat="1" ht="65.25" hidden="1" customHeight="1" x14ac:dyDescent="0.25">
      <c r="A127" s="442"/>
      <c r="B127" s="442"/>
      <c r="C127" s="271" t="s">
        <v>14</v>
      </c>
      <c r="D127" s="271"/>
      <c r="E127" s="443" t="s">
        <v>1</v>
      </c>
      <c r="F127" s="444" t="s">
        <v>1</v>
      </c>
      <c r="G127" s="445" t="s">
        <v>1</v>
      </c>
      <c r="H127" s="443" t="s">
        <v>19</v>
      </c>
      <c r="I127" s="444" t="s">
        <v>19</v>
      </c>
      <c r="J127" s="445" t="s">
        <v>19</v>
      </c>
      <c r="K127" s="446"/>
      <c r="L127" s="447" t="s">
        <v>20</v>
      </c>
      <c r="M127" s="448" t="s">
        <v>20</v>
      </c>
      <c r="N127" s="449" t="s">
        <v>20</v>
      </c>
      <c r="O127" s="267"/>
      <c r="P127" s="447" t="s">
        <v>21</v>
      </c>
      <c r="Q127" s="448" t="s">
        <v>21</v>
      </c>
      <c r="R127" s="449" t="s">
        <v>21</v>
      </c>
      <c r="S127" s="273" t="s">
        <v>111</v>
      </c>
      <c r="T127" s="274"/>
      <c r="U127" s="275"/>
      <c r="V127" s="273" t="s">
        <v>112</v>
      </c>
      <c r="W127" s="274"/>
      <c r="X127" s="275"/>
      <c r="Y127" s="276"/>
      <c r="Z127" s="273" t="s">
        <v>113</v>
      </c>
      <c r="AA127" s="274"/>
      <c r="AB127" s="275"/>
      <c r="AC127" s="276"/>
      <c r="AD127" s="273" t="s">
        <v>114</v>
      </c>
      <c r="AE127" s="274"/>
      <c r="AF127" s="275"/>
      <c r="AG127" s="276"/>
      <c r="AH127" s="450" t="s">
        <v>115</v>
      </c>
      <c r="AI127" s="450"/>
      <c r="AJ127" s="450" t="s">
        <v>123</v>
      </c>
      <c r="AK127" s="450" t="s">
        <v>124</v>
      </c>
      <c r="AL127" s="450" t="s">
        <v>125</v>
      </c>
      <c r="AM127" s="451" t="s">
        <v>141</v>
      </c>
      <c r="AN127" s="276" t="s">
        <v>143</v>
      </c>
      <c r="AO127" s="276"/>
      <c r="AP127" s="451" t="s">
        <v>142</v>
      </c>
      <c r="AQ127" s="452" t="s">
        <v>159</v>
      </c>
      <c r="AR127" s="282"/>
      <c r="AS127" s="237"/>
      <c r="AT127" s="237"/>
      <c r="AU127" s="237"/>
      <c r="AV127" s="237"/>
      <c r="AW127" s="237"/>
      <c r="AX127" s="237"/>
      <c r="AY127" s="237"/>
      <c r="AZ127" s="237"/>
      <c r="BA127" s="237"/>
      <c r="BB127" s="237"/>
      <c r="BC127" s="237"/>
      <c r="BD127" s="237"/>
      <c r="BE127" s="237"/>
    </row>
    <row r="128" spans="1:57" hidden="1" x14ac:dyDescent="0.25">
      <c r="A128" s="409"/>
      <c r="B128" s="409"/>
      <c r="C128" s="282" t="s">
        <v>173</v>
      </c>
      <c r="D128" s="282"/>
      <c r="E128" s="453" t="str">
        <f>IF(I17="","",I17)</f>
        <v/>
      </c>
      <c r="F128" s="454" t="str">
        <f>IF(M17="","",M17)</f>
        <v/>
      </c>
      <c r="G128" s="454" t="str">
        <f>IF(Q17="","",Q17)</f>
        <v/>
      </c>
      <c r="H128" s="453" t="str">
        <f>E128</f>
        <v/>
      </c>
      <c r="I128" s="454" t="str">
        <f>F128</f>
        <v/>
      </c>
      <c r="J128" s="455" t="str">
        <f>G128</f>
        <v/>
      </c>
      <c r="K128" s="456"/>
      <c r="L128" s="457" t="str">
        <f>H128</f>
        <v/>
      </c>
      <c r="M128" s="458" t="str">
        <f>I128</f>
        <v/>
      </c>
      <c r="N128" s="459" t="str">
        <f>J128</f>
        <v/>
      </c>
      <c r="O128" s="440"/>
      <c r="P128" s="457" t="str">
        <f>L128</f>
        <v/>
      </c>
      <c r="Q128" s="458" t="str">
        <f>M128</f>
        <v/>
      </c>
      <c r="R128" s="459" t="str">
        <f>N128</f>
        <v/>
      </c>
      <c r="S128" s="453" t="str">
        <f>P128</f>
        <v/>
      </c>
      <c r="T128" s="454" t="str">
        <f t="shared" ref="T128:U128" si="63">Q128</f>
        <v/>
      </c>
      <c r="U128" s="455" t="str">
        <f t="shared" si="63"/>
        <v/>
      </c>
      <c r="V128" s="453" t="str">
        <f>S128</f>
        <v/>
      </c>
      <c r="W128" s="454" t="str">
        <f t="shared" ref="W128" si="64">T128</f>
        <v/>
      </c>
      <c r="X128" s="455" t="str">
        <f t="shared" ref="X128" si="65">U128</f>
        <v/>
      </c>
      <c r="Y128" s="282"/>
      <c r="Z128" s="453" t="str">
        <f>V128</f>
        <v/>
      </c>
      <c r="AA128" s="454" t="str">
        <f>W128</f>
        <v/>
      </c>
      <c r="AB128" s="460" t="str">
        <f>X128</f>
        <v/>
      </c>
      <c r="AC128" s="282"/>
      <c r="AD128" s="453" t="str">
        <f>Z128</f>
        <v/>
      </c>
      <c r="AE128" s="454" t="str">
        <f>AA128</f>
        <v/>
      </c>
      <c r="AF128" s="455" t="str">
        <f>AB128</f>
        <v/>
      </c>
      <c r="AG128" s="282"/>
      <c r="AH128" s="461"/>
      <c r="AI128" s="461"/>
      <c r="AJ128" s="461"/>
      <c r="AK128" s="461"/>
      <c r="AL128" s="461"/>
      <c r="AM128" s="282"/>
      <c r="AN128" s="282"/>
      <c r="AO128" s="282"/>
      <c r="AP128" s="282"/>
      <c r="AQ128" s="282"/>
      <c r="AR128" s="282"/>
    </row>
    <row r="129" spans="1:52" hidden="1" x14ac:dyDescent="0.25">
      <c r="A129" s="409"/>
      <c r="B129" s="409"/>
      <c r="C129" s="282" t="s">
        <v>122</v>
      </c>
      <c r="D129" s="282"/>
      <c r="E129" s="462"/>
      <c r="F129" s="463"/>
      <c r="G129" s="460"/>
      <c r="H129" s="464" t="str">
        <f>IF(OR(H$128="",J21="",J21=0),"",J21)</f>
        <v/>
      </c>
      <c r="I129" s="465" t="str">
        <f>IF(OR(I$128="",N21="",N21=0),"",N21)</f>
        <v/>
      </c>
      <c r="J129" s="466" t="str">
        <f>IF(OR(J$128="",R21="",R21=0),"",R21)</f>
        <v/>
      </c>
      <c r="K129" s="462" t="str">
        <f t="shared" ref="K129" si="66">IF(K128="","",S21)</f>
        <v/>
      </c>
      <c r="L129" s="464" t="str">
        <f>IF(OR(H$128="",J22="",J22=0),"",J22)</f>
        <v/>
      </c>
      <c r="M129" s="465" t="str">
        <f>IF(OR(I$128="",N22="",N22=0),"",N22)</f>
        <v/>
      </c>
      <c r="N129" s="466" t="str">
        <f>IF(OR(J$128="",R22="",R22=0),"",R22)</f>
        <v/>
      </c>
      <c r="O129" s="440"/>
      <c r="P129" s="464" t="str">
        <f>IF(OR(H$128="",J23="",J23=0),"",J23)</f>
        <v/>
      </c>
      <c r="Q129" s="465" t="str">
        <f>IF(OR(I$128="",N23="",N23=0),"",N23)</f>
        <v/>
      </c>
      <c r="R129" s="466" t="str">
        <f>IF(OR(J$128="",R23="",R23=0),"",R23)</f>
        <v/>
      </c>
      <c r="S129" s="462"/>
      <c r="T129" s="463"/>
      <c r="U129" s="460"/>
      <c r="V129" s="462" t="str">
        <f>IF(OR(H129=0,H129=""),"",H129)</f>
        <v/>
      </c>
      <c r="W129" s="463" t="str">
        <f t="shared" ref="W129" si="67">IF(OR(I129=0,I129=""),"",I129)</f>
        <v/>
      </c>
      <c r="X129" s="460" t="str">
        <f>IF(OR(J129=0,J129=""),"",J129)</f>
        <v/>
      </c>
      <c r="Y129" s="282"/>
      <c r="Z129" s="462" t="str">
        <f>IF(OR(L129=0,L129=""),"",L129)</f>
        <v/>
      </c>
      <c r="AA129" s="463" t="str">
        <f t="shared" ref="AA129" si="68">IF(OR(M129=0,M129=""),"",M129)</f>
        <v/>
      </c>
      <c r="AB129" s="460" t="str">
        <f>IF(OR(N129=0,N129=""),"",N129)</f>
        <v/>
      </c>
      <c r="AC129" s="282"/>
      <c r="AD129" s="462" t="str">
        <f>IF(OR(P129=0,P129=""),"",P129)</f>
        <v/>
      </c>
      <c r="AE129" s="463" t="str">
        <f>IF(OR(Q129=0,Q129=""),"",Q129)</f>
        <v/>
      </c>
      <c r="AF129" s="460" t="str">
        <f>IF(OR(R129=0,R129=""),"",R129)</f>
        <v/>
      </c>
      <c r="AG129" s="282"/>
      <c r="AH129" s="461"/>
      <c r="AI129" s="461"/>
      <c r="AJ129" s="461"/>
      <c r="AK129" s="461"/>
      <c r="AL129" s="461"/>
      <c r="AM129" s="282"/>
      <c r="AN129" s="282"/>
      <c r="AO129" s="282"/>
      <c r="AP129" s="282"/>
      <c r="AQ129" s="282"/>
      <c r="AR129" s="282"/>
    </row>
    <row r="130" spans="1:52" hidden="1" x14ac:dyDescent="0.25">
      <c r="A130" s="409"/>
      <c r="B130" s="409"/>
      <c r="C130" s="282" t="s">
        <v>128</v>
      </c>
      <c r="D130" s="282"/>
      <c r="E130" s="462">
        <f>IF($U$25&lt;&gt;"ok",0,I69)</f>
        <v>0</v>
      </c>
      <c r="F130" s="463">
        <f>IF($U$25&lt;&gt;"ok",0,M69)</f>
        <v>0</v>
      </c>
      <c r="G130" s="460">
        <f>IF($U$25&lt;&gt;"ok",0,Q69)</f>
        <v>0</v>
      </c>
      <c r="H130" s="462">
        <f t="shared" ref="H130:J131" si="69">E130</f>
        <v>0</v>
      </c>
      <c r="I130" s="463">
        <f t="shared" si="69"/>
        <v>0</v>
      </c>
      <c r="J130" s="460">
        <f t="shared" si="69"/>
        <v>0</v>
      </c>
      <c r="K130" s="463"/>
      <c r="L130" s="462">
        <f t="shared" ref="L130:N131" si="70">H130</f>
        <v>0</v>
      </c>
      <c r="M130" s="463">
        <f t="shared" si="70"/>
        <v>0</v>
      </c>
      <c r="N130" s="460">
        <f t="shared" si="70"/>
        <v>0</v>
      </c>
      <c r="O130" s="440"/>
      <c r="P130" s="462">
        <f t="shared" ref="P130:R131" si="71">L130</f>
        <v>0</v>
      </c>
      <c r="Q130" s="463">
        <f t="shared" si="71"/>
        <v>0</v>
      </c>
      <c r="R130" s="460">
        <f t="shared" si="71"/>
        <v>0</v>
      </c>
      <c r="S130" s="462"/>
      <c r="T130" s="463"/>
      <c r="U130" s="460"/>
      <c r="V130" s="462" t="str">
        <f>IF(V$128="","",IF(AND($H69="",$I69="",$J69=""),"",H130))</f>
        <v/>
      </c>
      <c r="W130" s="463" t="str">
        <f>IF(W$128="","",IF(AND($L69="",$M69="",$N69=""),"",I130))</f>
        <v/>
      </c>
      <c r="X130" s="460" t="str">
        <f>IF(X$128="","",IF(AND($P69="",$Q69="",$R69=""),"",J130))</f>
        <v/>
      </c>
      <c r="Y130" s="282"/>
      <c r="Z130" s="462" t="str">
        <f t="shared" ref="Z130:AB131" si="72">IF(OR(Z$128="",Z$129="",Z$129=0),"",IF(AND($H69="",$I69="",$J69=""),"",L130))</f>
        <v/>
      </c>
      <c r="AA130" s="462" t="str">
        <f t="shared" si="72"/>
        <v/>
      </c>
      <c r="AB130" s="462" t="str">
        <f t="shared" si="72"/>
        <v/>
      </c>
      <c r="AC130" s="282"/>
      <c r="AD130" s="462" t="str">
        <f>IF(OR(AD$128="",AD$129="",AD$129=0),"",IF(AND($H69="",$I69="",$J69=""),"",P130))</f>
        <v/>
      </c>
      <c r="AE130" s="462" t="str">
        <f t="shared" ref="AE130:AF130" si="73">IF(OR(AE$128="",AE$129="",AE$129=0),"",IF(AND($H69="",$I69="",$J69=""),"",Q130))</f>
        <v/>
      </c>
      <c r="AF130" s="462" t="str">
        <f t="shared" si="73"/>
        <v/>
      </c>
      <c r="AG130" s="282"/>
      <c r="AH130" s="461"/>
      <c r="AI130" s="461"/>
      <c r="AJ130" s="461"/>
      <c r="AK130" s="461"/>
      <c r="AL130" s="461"/>
      <c r="AM130" s="282"/>
      <c r="AN130" s="282"/>
      <c r="AO130" s="282"/>
      <c r="AP130" s="282"/>
      <c r="AQ130" s="282"/>
      <c r="AR130" s="282"/>
    </row>
    <row r="131" spans="1:52" hidden="1" x14ac:dyDescent="0.25">
      <c r="A131" s="409"/>
      <c r="B131" s="409"/>
      <c r="C131" s="282" t="s">
        <v>152</v>
      </c>
      <c r="D131" s="282"/>
      <c r="E131" s="462">
        <f>IF($U$25&lt;&gt;"ok",0,J70)</f>
        <v>0</v>
      </c>
      <c r="F131" s="463">
        <f>IF($U$25&lt;&gt;"ok",0,N70)</f>
        <v>0</v>
      </c>
      <c r="G131" s="460">
        <f>IF($U$25&lt;&gt;"ok",0,R70)</f>
        <v>0</v>
      </c>
      <c r="H131" s="462">
        <f t="shared" si="69"/>
        <v>0</v>
      </c>
      <c r="I131" s="463">
        <f t="shared" si="69"/>
        <v>0</v>
      </c>
      <c r="J131" s="460">
        <f t="shared" si="69"/>
        <v>0</v>
      </c>
      <c r="K131" s="463"/>
      <c r="L131" s="462">
        <f t="shared" si="70"/>
        <v>0</v>
      </c>
      <c r="M131" s="463">
        <f t="shared" si="70"/>
        <v>0</v>
      </c>
      <c r="N131" s="460">
        <f t="shared" si="70"/>
        <v>0</v>
      </c>
      <c r="O131" s="440"/>
      <c r="P131" s="462">
        <f t="shared" si="71"/>
        <v>0</v>
      </c>
      <c r="Q131" s="463">
        <f t="shared" si="71"/>
        <v>0</v>
      </c>
      <c r="R131" s="460">
        <f t="shared" si="71"/>
        <v>0</v>
      </c>
      <c r="S131" s="462"/>
      <c r="T131" s="463"/>
      <c r="U131" s="460"/>
      <c r="V131" s="462" t="str">
        <f>IF(V$128="","",IF(AND($H70="",$I70="",$J70=""),"",H131))</f>
        <v/>
      </c>
      <c r="W131" s="463" t="str">
        <f>IF(W$128="","",IF(AND($L70="",$M70="",$N70=""),"",I131))</f>
        <v/>
      </c>
      <c r="X131" s="460" t="str">
        <f>IF(X$128="","",IF(AND($P70="",$Q70="",$R70=""),"",J131))</f>
        <v/>
      </c>
      <c r="Y131" s="282"/>
      <c r="Z131" s="462" t="str">
        <f t="shared" si="72"/>
        <v/>
      </c>
      <c r="AA131" s="462" t="str">
        <f t="shared" si="72"/>
        <v/>
      </c>
      <c r="AB131" s="462" t="str">
        <f t="shared" si="72"/>
        <v/>
      </c>
      <c r="AC131" s="282"/>
      <c r="AD131" s="462" t="str">
        <f>IF(OR(AD$128="",AD$129="",AD$129=0),"",IF(AND($H70="",$I70="",$J70=""),"",P131))</f>
        <v/>
      </c>
      <c r="AE131" s="462" t="str">
        <f>IF(OR(AE$128="",AE$129="",AE$129=0),"",IF(AND($H70="",$I70="",$J70=""),"",Q131))</f>
        <v/>
      </c>
      <c r="AF131" s="462" t="str">
        <f>IF(OR(AF$128="",AF$129="",AF$129=0),"",IF(AND($H70="",$I70="",$J70=""),"",R131))</f>
        <v/>
      </c>
      <c r="AG131" s="282"/>
      <c r="AH131" s="461"/>
      <c r="AI131" s="461"/>
      <c r="AJ131" s="461"/>
      <c r="AK131" s="461"/>
      <c r="AL131" s="461"/>
      <c r="AM131" s="282"/>
      <c r="AN131" s="282"/>
      <c r="AO131" s="282"/>
      <c r="AP131" s="282"/>
      <c r="AQ131" s="282"/>
      <c r="AR131" s="282"/>
    </row>
    <row r="132" spans="1:52" hidden="1" x14ac:dyDescent="0.25">
      <c r="A132" s="409"/>
      <c r="C132" s="282" t="s">
        <v>15</v>
      </c>
      <c r="D132" s="282"/>
      <c r="E132" s="462">
        <f>IF($U$25&lt;&gt;"ok",0,X32)</f>
        <v>0</v>
      </c>
      <c r="F132" s="463">
        <f>IF($U$25&lt;&gt;"ok",0,Y32)</f>
        <v>0</v>
      </c>
      <c r="G132" s="460">
        <f>IF($U$25&lt;&gt;"ok",0,Z32)</f>
        <v>0</v>
      </c>
      <c r="H132" s="467">
        <f>IF(OR(E132="",$J$21="",$J$21=0),0,E132/$J$21)</f>
        <v>0</v>
      </c>
      <c r="I132" s="468">
        <f>IF(OR(F132="",$N$21="",$N$21=0),0,F132/$N$21)</f>
        <v>0</v>
      </c>
      <c r="J132" s="469">
        <f>IF(OR(G132="",$R$21="",$R$21=0),0,G132/$R$21)</f>
        <v>0</v>
      </c>
      <c r="K132" s="470"/>
      <c r="L132" s="467">
        <f>IF(OR(E132="",$J$22="",$J$22=0),0,E132/$J$22)</f>
        <v>0</v>
      </c>
      <c r="M132" s="468">
        <f>IF(OR(F132="",$N$22="",$N$22=0),0,F132/$N$22)</f>
        <v>0</v>
      </c>
      <c r="N132" s="469">
        <f>IF(OR(G132="",$R$22="",$R$22=0),0,G132/$R$22)</f>
        <v>0</v>
      </c>
      <c r="O132" s="470"/>
      <c r="P132" s="467">
        <f>IF(OR(E132="",$J$23="",$J$23=0),0,E132/$J$23)</f>
        <v>0</v>
      </c>
      <c r="Q132" s="468">
        <f>IF(OR(F132="",$N$23="",$N$23=0),0,F132/$N$23)</f>
        <v>0</v>
      </c>
      <c r="R132" s="469">
        <f>IF(OR(G132="",$R$23="",$R$23=0),0,G132/$R$23)</f>
        <v>0</v>
      </c>
      <c r="S132" s="462" t="str">
        <f>IF(S$128="","",IF(AND($H32="",$I32="",$J32=""),"",E132))</f>
        <v/>
      </c>
      <c r="T132" s="463" t="str">
        <f>IF(T$128="","",IF(AND($L32="",$M32="",$N32=""),"",F132))</f>
        <v/>
      </c>
      <c r="U132" s="460" t="str">
        <f>IF(U$128="","",IF(AND($P32="",$Q32="",$R32=""),"",G132))</f>
        <v/>
      </c>
      <c r="V132" s="462" t="str">
        <f>IF(OR(V$128="",V$129="",V$129=0),"",IF(AND($H32="",$I32="",$J32=""),"",H132))</f>
        <v/>
      </c>
      <c r="W132" s="463" t="str">
        <f>IF(OR(W$128="",W$129="",W$129=0),"",IF(AND($L32="",$M32="",$N32=""),"",I132))</f>
        <v/>
      </c>
      <c r="X132" s="460" t="str">
        <f>IF(OR(X$128="",X$129="",X$129=0),"",IF(AND($P32="",$Q32="",$R32=""),"",J132))</f>
        <v/>
      </c>
      <c r="Y132" s="282"/>
      <c r="Z132" s="462" t="str">
        <f>IF(OR(Z$128="",Z$129="",Z$129=0),"",IF(AND($H32="",$I32="",$J32=""),"",L132))</f>
        <v/>
      </c>
      <c r="AA132" s="463" t="str">
        <f>IF(OR(AA$128="",AA$129="",AA$129=0),"",IF(AND($L32="",$M32="",$N32=""),"",M132))</f>
        <v/>
      </c>
      <c r="AB132" s="460" t="str">
        <f>IF(OR(AB$128="",AB$129="",AB$129=0),"",IF(AND($P32="",$Q32="",$R32=""),"",N132))</f>
        <v/>
      </c>
      <c r="AC132" s="282"/>
      <c r="AD132" s="462" t="str">
        <f>IF(OR(AD$128="",AD$129="",AD$129=0),"",IF(AND($H32="",$I32="",$J32=""),"",P132))</f>
        <v/>
      </c>
      <c r="AE132" s="463" t="str">
        <f>IF(OR(AE$128="",AE$129="",AE$129=0),"",IF(AND($L32="",$M32="",$N32=""),"",Q132))</f>
        <v/>
      </c>
      <c r="AF132" s="460" t="str">
        <f>IF(OR(AF$128="",AF$129="",AF$129=0),"",IF(AND($P32="",$Q32="",$R32=""),"",R132))</f>
        <v/>
      </c>
      <c r="AG132" s="282"/>
      <c r="AH132" s="461" t="str">
        <f t="shared" ref="AH132:AH142" si="74">IF(COUNTBLANK(S132:U132)=3,"",IF(SUM(S132:U132)=0,"","oui"))</f>
        <v/>
      </c>
      <c r="AI132" s="461"/>
      <c r="AJ132" s="461" t="str">
        <f t="shared" ref="AJ132:AJ142" si="75">IF(COUNTBLANK(V132:X132)=3,"",IF(SUM(V132:X132)=0,"","oui"))</f>
        <v/>
      </c>
      <c r="AK132" s="461" t="str">
        <f t="shared" ref="AK132:AK142" si="76">IF(COUNTBLANK(Z132:AB132)=3,"",IF(SUM(Z132:AB132)=0,"","oui"))</f>
        <v/>
      </c>
      <c r="AL132" s="461" t="str">
        <f t="shared" ref="AL132:AL142" si="77">IF(COUNTBLANK(AD132:AF132)=4,"",IF(SUM(AD132:AF132)=0,"","oui"))</f>
        <v/>
      </c>
      <c r="AM132" s="282" t="s">
        <v>129</v>
      </c>
      <c r="AN132" s="282">
        <v>1</v>
      </c>
      <c r="AO132" s="282" t="str">
        <f>IF(AH132="oui",AN132,"")</f>
        <v/>
      </c>
      <c r="AP132" s="282" t="str">
        <f t="shared" ref="AP132:AP139" si="78">IF(AH132&lt;&gt;"oui","",IF(AND(AH132="oui",MAX($AO$132:$AO$153)=AO132),AM132,CONCATENATE(AM132,", ")))</f>
        <v/>
      </c>
      <c r="AQ132" s="282"/>
      <c r="AR132" s="282"/>
      <c r="AZ132" s="282" t="s">
        <v>129</v>
      </c>
    </row>
    <row r="133" spans="1:52" hidden="1" x14ac:dyDescent="0.25">
      <c r="A133" s="409"/>
      <c r="C133" s="282" t="s">
        <v>13</v>
      </c>
      <c r="D133" s="282"/>
      <c r="E133" s="462">
        <f>IF($U$25&lt;&gt;"ok",0,SUM(X33:X41))</f>
        <v>0</v>
      </c>
      <c r="F133" s="463">
        <f>IF($U$25&lt;&gt;"ok",0,SUM(Y33:Y41))</f>
        <v>0</v>
      </c>
      <c r="G133" s="460">
        <f>IF($U$25&lt;&gt;"ok",0,SUM(Z33:Z41))</f>
        <v>0</v>
      </c>
      <c r="H133" s="467">
        <f>IF(OR(E133="",$J$21="",$J$21=0),0,E133/$J$21)</f>
        <v>0</v>
      </c>
      <c r="I133" s="468">
        <f>IF(OR(F133="",$N$21="",$N$21=0),0,F133/$N$21)</f>
        <v>0</v>
      </c>
      <c r="J133" s="469">
        <f>IF(OR(G133="",$R$21="",$R$21=0),0,G133/$R$21)</f>
        <v>0</v>
      </c>
      <c r="K133" s="470"/>
      <c r="L133" s="467">
        <f t="shared" ref="L133:L144" si="79">IF(OR(E133="",$J$22="",$J$22=0),0,E133/$J$22)</f>
        <v>0</v>
      </c>
      <c r="M133" s="468">
        <f t="shared" ref="M133:M144" si="80">IF(OR(F133="",$N$22="",$N$22=0),0,F133/$N$22)</f>
        <v>0</v>
      </c>
      <c r="N133" s="469">
        <f t="shared" ref="N133:N144" si="81">IF(OR(G133="",$R$22="",$R$22=0),0,G133/$R$22)</f>
        <v>0</v>
      </c>
      <c r="O133" s="470"/>
      <c r="P133" s="467">
        <f t="shared" ref="P133:P144" si="82">IF(OR(E133="",$J$23="",$J$23=0),0,E133/$J$23)</f>
        <v>0</v>
      </c>
      <c r="Q133" s="468">
        <f t="shared" ref="Q133:Q144" si="83">IF(OR(F133="",$N$23="",$N$23=0),0,F133/$N$23)</f>
        <v>0</v>
      </c>
      <c r="R133" s="469">
        <f t="shared" ref="R133:R144" si="84">IF(OR(G133="",$R$23="",$R$23=0),0,G133/$R$23)</f>
        <v>0</v>
      </c>
      <c r="S133" s="471" t="str">
        <f>IF(S$128="","",IF(COUNTBLANK($H$33:$J$41)=27,"",E133))</f>
        <v/>
      </c>
      <c r="T133" s="472" t="str">
        <f>IF(T$128="","",IF(COUNTBLANK($L$33:$N$41)=27,"",F133))</f>
        <v/>
      </c>
      <c r="U133" s="473" t="str">
        <f>IF(U$128="","",IF(COUNTBLANK($P$33:$R$41)=27,"",G133))</f>
        <v/>
      </c>
      <c r="V133" s="471" t="str">
        <f>IF(OR(V$128="",V$129="",V$129=0),"",IF(COUNTBLANK($H$33:$J$41)=27,"",H133))</f>
        <v/>
      </c>
      <c r="W133" s="472" t="str">
        <f>IF(OR(W$128="",W$129="",W$129=0),"",IF(COUNTBLANK($L$33:$N$41)=27,"",I133))</f>
        <v/>
      </c>
      <c r="X133" s="473" t="str">
        <f>IF(OR(X$128="",X$129="",X$129=0),"",IF(COUNTBLANK($P$33:$R$41)=27,"",J133))</f>
        <v/>
      </c>
      <c r="Y133" s="474"/>
      <c r="Z133" s="471" t="str">
        <f>IF(OR(Z$128="",Z$129="",Z$129=0),"",IF(COUNTBLANK($H$33:$J$41)=27,"",L133))</f>
        <v/>
      </c>
      <c r="AA133" s="472" t="str">
        <f>IF(OR(AA$128="",AA$129="",AA$129=0),"",IF(COUNTBLANK($L$33:$N$41)=27,"",M133))</f>
        <v/>
      </c>
      <c r="AB133" s="473" t="str">
        <f>IF(OR(AB$128="",AB$129="",AB$129=0),"",IF(COUNTBLANK($P$33:$R$41)=27,"",N133))</f>
        <v/>
      </c>
      <c r="AC133" s="474"/>
      <c r="AD133" s="471" t="str">
        <f>IF(OR(AD$128="",AD$129="",AD$129=0),"",IF(COUNTBLANK($H$33:$J$41)=27,"",P133))</f>
        <v/>
      </c>
      <c r="AE133" s="472" t="str">
        <f>IF(OR(AE$128="",AE$129="",AE$129=0),"",IF(COUNTBLANK($L$33:$N$41)=27,"",Q133))</f>
        <v/>
      </c>
      <c r="AF133" s="473" t="str">
        <f>IF(OR(AF$128="",AF$129="",AF$129=0),"",IF(COUNTBLANK($P$33:$R$41)=27,"",R133))</f>
        <v/>
      </c>
      <c r="AG133" s="282"/>
      <c r="AH133" s="461" t="str">
        <f t="shared" si="74"/>
        <v/>
      </c>
      <c r="AI133" s="461"/>
      <c r="AJ133" s="461" t="str">
        <f t="shared" si="75"/>
        <v/>
      </c>
      <c r="AK133" s="461" t="str">
        <f t="shared" si="76"/>
        <v/>
      </c>
      <c r="AL133" s="461" t="str">
        <f t="shared" si="77"/>
        <v/>
      </c>
      <c r="AM133" s="282" t="s">
        <v>130</v>
      </c>
      <c r="AN133" s="282">
        <v>2</v>
      </c>
      <c r="AO133" s="282" t="str">
        <f>IF(AH133="oui",AN133,"")</f>
        <v/>
      </c>
      <c r="AP133" s="282" t="str">
        <f t="shared" si="78"/>
        <v/>
      </c>
      <c r="AQ133" s="282"/>
      <c r="AR133" s="282"/>
      <c r="AZ133" s="282" t="s">
        <v>130</v>
      </c>
    </row>
    <row r="134" spans="1:52" hidden="1" x14ac:dyDescent="0.25">
      <c r="A134" s="409"/>
      <c r="C134" s="475" t="s">
        <v>92</v>
      </c>
      <c r="D134" s="475"/>
      <c r="E134" s="462">
        <f>IF($U$25&lt;&gt;"ok",0,SUM(X33:X36))</f>
        <v>0</v>
      </c>
      <c r="F134" s="463">
        <f>IF($U$25&lt;&gt;"ok",0,SUM(Y33:Y36))</f>
        <v>0</v>
      </c>
      <c r="G134" s="460">
        <f>IF($U$25&lt;&gt;"ok",0,SUM(Z33:Z36))</f>
        <v>0</v>
      </c>
      <c r="H134" s="467">
        <f t="shared" ref="H134:H143" si="85">IF(OR(E134="",$J$21="",$J$21=0),0,E134/$J$21)</f>
        <v>0</v>
      </c>
      <c r="I134" s="468">
        <f t="shared" ref="I134:I144" si="86">IF(OR(F134="",$N$21="",$N$21=0),0,F134/$N$21)</f>
        <v>0</v>
      </c>
      <c r="J134" s="469">
        <f t="shared" ref="J134:J144" si="87">IF(OR(G134="",$R$21="",$R$21=0),0,G134/$R$21)</f>
        <v>0</v>
      </c>
      <c r="K134" s="470"/>
      <c r="L134" s="467">
        <f t="shared" si="79"/>
        <v>0</v>
      </c>
      <c r="M134" s="468">
        <f t="shared" si="80"/>
        <v>0</v>
      </c>
      <c r="N134" s="469">
        <f t="shared" si="81"/>
        <v>0</v>
      </c>
      <c r="O134" s="470"/>
      <c r="P134" s="467">
        <f t="shared" si="82"/>
        <v>0</v>
      </c>
      <c r="Q134" s="468">
        <f t="shared" si="83"/>
        <v>0</v>
      </c>
      <c r="R134" s="469">
        <f t="shared" si="84"/>
        <v>0</v>
      </c>
      <c r="S134" s="471" t="str">
        <f>IF(S$128="","",IF(COUNTBLANK($H$33:$J$36)=12,"",E134))</f>
        <v/>
      </c>
      <c r="T134" s="472" t="str">
        <f>IF(T$128="","",IF(COUNTBLANK($L$33:$N$36)=12,"",F134))</f>
        <v/>
      </c>
      <c r="U134" s="473" t="str">
        <f>IF(U$128="","",IF(COUNTBLANK($P$33:$R$36)=12,"",G134))</f>
        <v/>
      </c>
      <c r="V134" s="471" t="str">
        <f>IF(OR(V$128="",V$129="",V$129=0),"",IF(COUNTBLANK($H$33:$J$36)=12,"",H134))</f>
        <v/>
      </c>
      <c r="W134" s="472" t="str">
        <f>IF(OR(W$128="",W$129="",W$129=0),"",IF(COUNTBLANK($L$33:$N$36)=12,"",I134))</f>
        <v/>
      </c>
      <c r="X134" s="473" t="str">
        <f>IF(OR(X$128="",X$129="",X$129=0),"",IF(COUNTBLANK($P$33:$R$36)=12,"",J134))</f>
        <v/>
      </c>
      <c r="Y134" s="474"/>
      <c r="Z134" s="471" t="str">
        <f>IF(OR(Z$128="",Z$129="",Z$129=0),"",IF(COUNTBLANK($H$33:$J$36)=12,"",L134))</f>
        <v/>
      </c>
      <c r="AA134" s="472" t="str">
        <f>IF(OR(AA$128="",AA$129="",AA$129=0),"",IF(COUNTBLANK($L$33:$N$36)=12,"",M134))</f>
        <v/>
      </c>
      <c r="AB134" s="473" t="str">
        <f>IF(OR(AB$128="",AB$129="",AB$129=0),"",IF(COUNTBLANK($P$33:$R$36)=12,"",N134))</f>
        <v/>
      </c>
      <c r="AC134" s="474"/>
      <c r="AD134" s="471" t="str">
        <f>IF(OR(AD$128="",AD$129="",AD$129=0),"",IF(COUNTBLANK($H$33:$J$36)=12,"",P134))</f>
        <v/>
      </c>
      <c r="AE134" s="472" t="str">
        <f>IF(OR(AE$128="",AE$129="",AE$129=0),"",IF(COUNTBLANK($L$33:$N$36)=12,"",Q134))</f>
        <v/>
      </c>
      <c r="AF134" s="473" t="str">
        <f>IF(OR(AF$128="",AF$129="",AF$129=0),"",IF(COUNTBLANK($P$33:$R$36)=12,"",R134))</f>
        <v/>
      </c>
      <c r="AG134" s="282"/>
      <c r="AH134" s="461" t="str">
        <f t="shared" si="74"/>
        <v/>
      </c>
      <c r="AI134" s="461"/>
      <c r="AJ134" s="461" t="str">
        <f t="shared" si="75"/>
        <v/>
      </c>
      <c r="AK134" s="461" t="str">
        <f t="shared" si="76"/>
        <v/>
      </c>
      <c r="AL134" s="461" t="str">
        <f t="shared" si="77"/>
        <v/>
      </c>
      <c r="AM134" s="282"/>
      <c r="AN134" s="282"/>
      <c r="AO134" s="282"/>
      <c r="AP134" s="282"/>
      <c r="AQ134" s="282"/>
      <c r="AR134" s="282"/>
      <c r="AZ134" s="282"/>
    </row>
    <row r="135" spans="1:52" hidden="1" x14ac:dyDescent="0.25">
      <c r="A135" s="409"/>
      <c r="C135" s="409" t="s">
        <v>102</v>
      </c>
      <c r="D135" s="282"/>
      <c r="E135" s="462">
        <f>IF($U$25&lt;&gt;"ok",0,SUM(X42:X45))</f>
        <v>0</v>
      </c>
      <c r="F135" s="463">
        <f>IF($U$25&lt;&gt;"ok",0,SUM(Y42:Y45))</f>
        <v>0</v>
      </c>
      <c r="G135" s="460">
        <f>IF($U$25&lt;&gt;"ok",0,SUM(Z42:Z45))</f>
        <v>0</v>
      </c>
      <c r="H135" s="467">
        <f>IF(OR(E135="",$J$21="",$J$21=0),0,E135/$J$21)</f>
        <v>0</v>
      </c>
      <c r="I135" s="468">
        <f>IF(OR(F135="",$N$21="",$N$21=0),0,F135/$N$21)</f>
        <v>0</v>
      </c>
      <c r="J135" s="469">
        <f>IF(OR(G135="",$R$21="",$R$21=0),0,G135/$R$21)</f>
        <v>0</v>
      </c>
      <c r="K135" s="470"/>
      <c r="L135" s="467">
        <f>IF(OR(E135="",$J$22="",$J$22=0),0,E135/$J$22)</f>
        <v>0</v>
      </c>
      <c r="M135" s="468">
        <f>IF(OR(F135="",$N$22="",$N$22=0),0,F135/$N$22)</f>
        <v>0</v>
      </c>
      <c r="N135" s="469">
        <f>IF(OR(G135="",$R$22="",$R$22=0),0,G135/$R$22)</f>
        <v>0</v>
      </c>
      <c r="O135" s="470"/>
      <c r="P135" s="467">
        <f>IF(OR(E135="",$J$23="",$J$23=0),0,E135/$J$23)</f>
        <v>0</v>
      </c>
      <c r="Q135" s="468">
        <f>IF(OR(F135="",$N$23="",$N$23=0),0,F135/$N$23)</f>
        <v>0</v>
      </c>
      <c r="R135" s="469">
        <f>IF(OR(G135="",$R$23="",$R$23=0),0,G135/$R$23)</f>
        <v>0</v>
      </c>
      <c r="S135" s="471" t="str">
        <f>IF(S$128="","",IF(COUNTBLANK($H$42:$J$45)=12,"",E135))</f>
        <v/>
      </c>
      <c r="T135" s="472" t="str">
        <f>IF(T$128="","",IF(COUNTBLANK($L$42:$N$45)=12,"",F135))</f>
        <v/>
      </c>
      <c r="U135" s="473" t="str">
        <f>IF(U$128="","",IF(COUNTBLANK($P$42:$R$45)=12,"",G135))</f>
        <v/>
      </c>
      <c r="V135" s="471" t="str">
        <f>IF(OR(V$128="",V$129="",V$129=0),"",IF(COUNTBLANK($H$42:$J$45)=12,"",H135))</f>
        <v/>
      </c>
      <c r="W135" s="472" t="str">
        <f>IF(OR(W$128="",W$129="",W$129=0),"",IF(COUNTBLANK($L$42:$N$45)=12,"",I135))</f>
        <v/>
      </c>
      <c r="X135" s="473" t="str">
        <f>IF(OR(X$128="",X$129="",X$129=0),"",IF(COUNTBLANK($P$42:$R$45)=12,"",J135))</f>
        <v/>
      </c>
      <c r="Y135" s="282"/>
      <c r="Z135" s="471" t="str">
        <f>IF(OR(Z$128="",Z$129="",Z$129=0),"",IF(COUNTBLANK($H$42:$J$45)=12,"",L135))</f>
        <v/>
      </c>
      <c r="AA135" s="472" t="str">
        <f>IF(OR(AA$128="",AA$129="",AA$129=0),"",IF(COUNTBLANK($L$42:$N$45)=12,"",M135))</f>
        <v/>
      </c>
      <c r="AB135" s="473" t="str">
        <f>IF(OR(AB$128="",AB$129="",AB$129=0),"",IF(COUNTBLANK($P$42:$R$45)=12,"",N135))</f>
        <v/>
      </c>
      <c r="AC135" s="282"/>
      <c r="AD135" s="471" t="str">
        <f>IF(OR(AD$128="",AD$129="",AD$129=0),"",IF(COUNTBLANK($H$42:$J$45)=12,"",P135))</f>
        <v/>
      </c>
      <c r="AE135" s="472" t="str">
        <f>IF(OR(AE$128="",AE$129="",AE$129=0),"",IF(COUNTBLANK($L$42:$N$45)=12,"",Q135))</f>
        <v/>
      </c>
      <c r="AF135" s="473" t="str">
        <f>IF(OR(AF$128="",AF$129="",AF$129=0),"",IF(COUNTBLANK($P$42:$R$45)=12,"",R135))</f>
        <v/>
      </c>
      <c r="AG135" s="282"/>
      <c r="AH135" s="461" t="str">
        <f t="shared" si="74"/>
        <v/>
      </c>
      <c r="AI135" s="461"/>
      <c r="AJ135" s="461" t="str">
        <f t="shared" si="75"/>
        <v/>
      </c>
      <c r="AK135" s="461" t="str">
        <f t="shared" si="76"/>
        <v/>
      </c>
      <c r="AL135" s="461" t="str">
        <f t="shared" si="77"/>
        <v/>
      </c>
      <c r="AM135" s="282" t="s">
        <v>131</v>
      </c>
      <c r="AN135" s="282">
        <v>3</v>
      </c>
      <c r="AO135" s="282" t="str">
        <f t="shared" ref="AO135:AO142" si="88">IF(AH135="oui",AN135,"")</f>
        <v/>
      </c>
      <c r="AP135" s="282" t="str">
        <f t="shared" si="78"/>
        <v/>
      </c>
      <c r="AQ135" s="282"/>
      <c r="AR135" s="282"/>
      <c r="AZ135" s="282" t="s">
        <v>131</v>
      </c>
    </row>
    <row r="136" spans="1:52" hidden="1" x14ac:dyDescent="0.25">
      <c r="A136" s="409"/>
      <c r="C136" s="282" t="s">
        <v>17</v>
      </c>
      <c r="D136" s="282"/>
      <c r="E136" s="462">
        <f>IF($U$25&lt;&gt;"ok",0,SUM(X46:X47))</f>
        <v>0</v>
      </c>
      <c r="F136" s="463">
        <f>IF($U$25&lt;&gt;"ok",0,SUM(Y46:Y47))</f>
        <v>0</v>
      </c>
      <c r="G136" s="460">
        <f>IF($U$25&lt;&gt;"ok",0,SUM(Z46:Z47))</f>
        <v>0</v>
      </c>
      <c r="H136" s="467">
        <f t="shared" si="85"/>
        <v>0</v>
      </c>
      <c r="I136" s="468">
        <f t="shared" si="86"/>
        <v>0</v>
      </c>
      <c r="J136" s="469">
        <f t="shared" si="87"/>
        <v>0</v>
      </c>
      <c r="K136" s="470"/>
      <c r="L136" s="467">
        <f t="shared" si="79"/>
        <v>0</v>
      </c>
      <c r="M136" s="468">
        <f t="shared" si="80"/>
        <v>0</v>
      </c>
      <c r="N136" s="469">
        <f t="shared" si="81"/>
        <v>0</v>
      </c>
      <c r="O136" s="470"/>
      <c r="P136" s="467">
        <f t="shared" si="82"/>
        <v>0</v>
      </c>
      <c r="Q136" s="468">
        <f t="shared" si="83"/>
        <v>0</v>
      </c>
      <c r="R136" s="469">
        <f t="shared" si="84"/>
        <v>0</v>
      </c>
      <c r="S136" s="471" t="str">
        <f>IF(S$128="","",IF(COUNTBLANK($H$46:$J$47)=6,"",E136))</f>
        <v/>
      </c>
      <c r="T136" s="472" t="str">
        <f>IF(T$128="","",IF(COUNTBLANK($L$46:$N$47)=6,"",F136))</f>
        <v/>
      </c>
      <c r="U136" s="473" t="str">
        <f>IF(U$128="","",IF(COUNTBLANK($P$46:$R$47)=6,"",G136))</f>
        <v/>
      </c>
      <c r="V136" s="471" t="str">
        <f>IF(OR(V$128="",V$129="",V$129=0),"",IF(COUNTBLANK($H$46:$J$47)=6,"",H136))</f>
        <v/>
      </c>
      <c r="W136" s="472" t="str">
        <f>IF(OR(W$128="",W$129="",W$129=0),"",IF(COUNTBLANK($L$46:$N$47)=6,"",I136))</f>
        <v/>
      </c>
      <c r="X136" s="473" t="str">
        <f>IF(OR(X$128="",X$129="",X$129=0),"",IF(COUNTBLANK($P$46:$R$47)=6,"",J136))</f>
        <v/>
      </c>
      <c r="Y136" s="474"/>
      <c r="Z136" s="471" t="str">
        <f>IF(OR(Z$128="",Z$129="",Z$129=0),"",IF(COUNTBLANK($H$46:$J$47)=6,"",L136))</f>
        <v/>
      </c>
      <c r="AA136" s="472" t="str">
        <f>IF(OR(AA$128="",AA$129="",AA$129=0),"",IF(COUNTBLANK($L$46:$N$47)=6,"",M136))</f>
        <v/>
      </c>
      <c r="AB136" s="473" t="str">
        <f>IF(OR(AB$128="",AB$129="",AB$129=0),"",IF(COUNTBLANK($P$46:$R$47)=6,"",N136))</f>
        <v/>
      </c>
      <c r="AC136" s="474"/>
      <c r="AD136" s="471" t="str">
        <f>IF(OR(AD$128="",AD$129="",AD$129=0),"",IF(COUNTBLANK($H$46:$J$47)=6,"",P136))</f>
        <v/>
      </c>
      <c r="AE136" s="472" t="str">
        <f>IF(OR(AE$128="",AE$129="",AE$129=0),"",IF(COUNTBLANK($L$46:$N$47)=6,"",Q136))</f>
        <v/>
      </c>
      <c r="AF136" s="473" t="str">
        <f>IF(OR(AF$128="",AF$129="",AF$129=0),"",IF(COUNTBLANK($P$46:$R$47)=6,"",R136))</f>
        <v/>
      </c>
      <c r="AG136" s="282"/>
      <c r="AH136" s="461" t="str">
        <f t="shared" si="74"/>
        <v/>
      </c>
      <c r="AI136" s="461"/>
      <c r="AJ136" s="461" t="str">
        <f t="shared" si="75"/>
        <v/>
      </c>
      <c r="AK136" s="461" t="str">
        <f t="shared" si="76"/>
        <v/>
      </c>
      <c r="AL136" s="461" t="str">
        <f t="shared" si="77"/>
        <v/>
      </c>
      <c r="AM136" s="282" t="s">
        <v>188</v>
      </c>
      <c r="AN136" s="282">
        <v>4</v>
      </c>
      <c r="AO136" s="282" t="str">
        <f t="shared" si="88"/>
        <v/>
      </c>
      <c r="AP136" s="282" t="str">
        <f t="shared" si="78"/>
        <v/>
      </c>
      <c r="AQ136" s="282"/>
      <c r="AR136" s="282"/>
      <c r="AZ136" s="282" t="s">
        <v>132</v>
      </c>
    </row>
    <row r="137" spans="1:52" hidden="1" x14ac:dyDescent="0.25">
      <c r="A137" s="409"/>
      <c r="C137" s="282" t="s">
        <v>107</v>
      </c>
      <c r="D137" s="282"/>
      <c r="E137" s="467">
        <f t="shared" ref="E137:G141" si="89">IF($U$25&lt;&gt;"ok",0,X48)</f>
        <v>0</v>
      </c>
      <c r="F137" s="468">
        <f t="shared" si="89"/>
        <v>0</v>
      </c>
      <c r="G137" s="469">
        <f t="shared" si="89"/>
        <v>0</v>
      </c>
      <c r="H137" s="467">
        <f t="shared" si="85"/>
        <v>0</v>
      </c>
      <c r="I137" s="468">
        <f t="shared" si="86"/>
        <v>0</v>
      </c>
      <c r="J137" s="469">
        <f t="shared" si="87"/>
        <v>0</v>
      </c>
      <c r="K137" s="470"/>
      <c r="L137" s="467">
        <f t="shared" si="79"/>
        <v>0</v>
      </c>
      <c r="M137" s="468">
        <f t="shared" si="80"/>
        <v>0</v>
      </c>
      <c r="N137" s="469">
        <f t="shared" si="81"/>
        <v>0</v>
      </c>
      <c r="O137" s="470"/>
      <c r="P137" s="467">
        <f t="shared" si="82"/>
        <v>0</v>
      </c>
      <c r="Q137" s="468">
        <f t="shared" si="83"/>
        <v>0</v>
      </c>
      <c r="R137" s="469">
        <f t="shared" si="84"/>
        <v>0</v>
      </c>
      <c r="S137" s="476" t="str">
        <f>IF(S$128="","",IF(AND($H48="",$I48="",$J48=""),"",E137))</f>
        <v/>
      </c>
      <c r="T137" s="477" t="str">
        <f>IF(T$128="","",IF(AND($L48="",$M48="",$N48=""),"",F137))</f>
        <v/>
      </c>
      <c r="U137" s="478" t="str">
        <f>IF(U$128="","",IF(AND($P48="",$Q48="",$R48=""),"",G137))</f>
        <v/>
      </c>
      <c r="V137" s="471" t="str">
        <f>IF(OR(V$128="",V$129="",V$129=0),"",IF(AND($H48="",$I48="",$J48=""),"",H137))</f>
        <v/>
      </c>
      <c r="W137" s="472" t="str">
        <f>IF(OR(W$128="",W$129="",W$129=0),"",IF(AND($L48="",$M48="",$N48=""),"",I137))</f>
        <v/>
      </c>
      <c r="X137" s="473" t="str">
        <f>IF(OR(X$128="",X$129="",X$129=0),"",IF(AND($P48="",$Q48="",$R48=""),"",J137))</f>
        <v/>
      </c>
      <c r="Y137" s="282"/>
      <c r="Z137" s="471" t="str">
        <f>IF(OR(Z$128="",Z$129="",Z$129=0),"",IF(AND($H48="",$I48="",$J48=""),"",L137))</f>
        <v/>
      </c>
      <c r="AA137" s="472" t="str">
        <f>IF(OR(AA$128="",AA$129="",AA$129=0),"",IF(AND($L48="",$M48="",$N48=""),"",M137))</f>
        <v/>
      </c>
      <c r="AB137" s="473" t="str">
        <f>IF(OR(AB$128="",AB$129="",AB$129=0),"",IF(AND($P48="",$Q48="",$R48=""),"",N137))</f>
        <v/>
      </c>
      <c r="AC137" s="282"/>
      <c r="AD137" s="471" t="str">
        <f>IF(OR(AD$128="",AD$129="",AD$129=0),"",IF(AND($H48="",$I48="",$J48=""),"",P137))</f>
        <v/>
      </c>
      <c r="AE137" s="472" t="str">
        <f>IF(OR(AE$128="",AE$129="",AE$129=0),"",IF(AND($L48="",$M48="",$N48=""),"",Q137))</f>
        <v/>
      </c>
      <c r="AF137" s="473" t="str">
        <f>IF(OR(AF$128="",AF$129="",AF$129=0),"",IF(AND($P48="",$Q48="",$R48=""),"",R137))</f>
        <v/>
      </c>
      <c r="AG137" s="282"/>
      <c r="AH137" s="461" t="str">
        <f t="shared" si="74"/>
        <v/>
      </c>
      <c r="AI137" s="461"/>
      <c r="AJ137" s="461" t="str">
        <f t="shared" si="75"/>
        <v/>
      </c>
      <c r="AK137" s="461" t="str">
        <f t="shared" si="76"/>
        <v/>
      </c>
      <c r="AL137" s="461" t="str">
        <f t="shared" si="77"/>
        <v/>
      </c>
      <c r="AM137" s="282" t="s">
        <v>133</v>
      </c>
      <c r="AN137" s="282">
        <v>5</v>
      </c>
      <c r="AO137" s="282" t="str">
        <f t="shared" si="88"/>
        <v/>
      </c>
      <c r="AP137" s="282" t="str">
        <f t="shared" si="78"/>
        <v/>
      </c>
      <c r="AQ137" s="282"/>
      <c r="AR137" s="282"/>
      <c r="AZ137" s="282" t="s">
        <v>133</v>
      </c>
    </row>
    <row r="138" spans="1:52" hidden="1" x14ac:dyDescent="0.25">
      <c r="A138" s="409"/>
      <c r="C138" s="282" t="s">
        <v>18</v>
      </c>
      <c r="D138" s="282"/>
      <c r="E138" s="462">
        <f t="shared" si="89"/>
        <v>0</v>
      </c>
      <c r="F138" s="463">
        <f t="shared" si="89"/>
        <v>0</v>
      </c>
      <c r="G138" s="460">
        <f t="shared" si="89"/>
        <v>0</v>
      </c>
      <c r="H138" s="467">
        <f t="shared" si="85"/>
        <v>0</v>
      </c>
      <c r="I138" s="468">
        <f>IF(OR(F138="",$N$21="",$N$21=0),0,F138/$N$21)</f>
        <v>0</v>
      </c>
      <c r="J138" s="469">
        <f t="shared" si="87"/>
        <v>0</v>
      </c>
      <c r="K138" s="456"/>
      <c r="L138" s="467">
        <f t="shared" si="79"/>
        <v>0</v>
      </c>
      <c r="M138" s="468">
        <f t="shared" si="80"/>
        <v>0</v>
      </c>
      <c r="N138" s="469">
        <f t="shared" si="81"/>
        <v>0</v>
      </c>
      <c r="O138" s="440"/>
      <c r="P138" s="467">
        <f t="shared" si="82"/>
        <v>0</v>
      </c>
      <c r="Q138" s="468">
        <f t="shared" si="83"/>
        <v>0</v>
      </c>
      <c r="R138" s="469">
        <f t="shared" si="84"/>
        <v>0</v>
      </c>
      <c r="S138" s="476" t="str">
        <f>IF(S$128="","",IF(AND($H49="",$I49="",$J49=""),"",E138))</f>
        <v/>
      </c>
      <c r="T138" s="477" t="str">
        <f>IF(T$128="","",IF(AND($L49="",$M49="",$N49=""),"",F138))</f>
        <v/>
      </c>
      <c r="U138" s="478" t="str">
        <f>IF(U$128="","",IF(AND($P49="",$Q49="",$R49=""),"",G138))</f>
        <v/>
      </c>
      <c r="V138" s="471" t="str">
        <f>IF(OR(V$128="",V$129="",V$129=0),"",IF(AND($H49="",$I49="",$J49=""),"",H138))</f>
        <v/>
      </c>
      <c r="W138" s="472" t="str">
        <f>IF(OR(W$128="",W$129="",W$129=0),"",IF(AND($L49="",$M49="",$N49=""),"",I138))</f>
        <v/>
      </c>
      <c r="X138" s="473" t="str">
        <f>IF(OR(X$128="",X$129="",X$129=0),"",IF(AND($P49="",$Q49="",$R49=""),"",J138))</f>
        <v/>
      </c>
      <c r="Y138" s="282"/>
      <c r="Z138" s="471" t="str">
        <f>IF(OR(Z$128="",Z$129="",Z$129=0),"",IF(AND($H49="",$I49="",$J49=""),"",L138))</f>
        <v/>
      </c>
      <c r="AA138" s="472" t="str">
        <f>IF(OR(AA$128="",AA$129="",AA$129=0),"",IF(AND($L49="",$M49="",$N49=""),"",M138))</f>
        <v/>
      </c>
      <c r="AB138" s="473" t="str">
        <f>IF(OR(AB$128="",AB$129="",AB$129=0),"",IF(AND($P49="",$Q49="",$R49=""),"",N138))</f>
        <v/>
      </c>
      <c r="AC138" s="282"/>
      <c r="AD138" s="471" t="str">
        <f>IF(OR(AD$128="",AD$129="",AD$129=0),"",IF(AND($H49="",$I49="",$J49=""),"",P138))</f>
        <v/>
      </c>
      <c r="AE138" s="472" t="str">
        <f>IF(OR(AE$128="",AE$129="",AE$129=0),"",IF(AND($L49="",$M49="",$N49=""),"",Q138))</f>
        <v/>
      </c>
      <c r="AF138" s="473" t="str">
        <f>IF(OR(AF$128="",AF$129="",AF$129=0),"",IF(AND($P49="",$Q49="",$R49=""),"",R138))</f>
        <v/>
      </c>
      <c r="AG138" s="282"/>
      <c r="AH138" s="461" t="str">
        <f t="shared" si="74"/>
        <v/>
      </c>
      <c r="AI138" s="461"/>
      <c r="AJ138" s="461" t="str">
        <f t="shared" si="75"/>
        <v/>
      </c>
      <c r="AK138" s="461" t="str">
        <f t="shared" si="76"/>
        <v/>
      </c>
      <c r="AL138" s="461" t="str">
        <f t="shared" si="77"/>
        <v/>
      </c>
      <c r="AM138" s="282" t="s">
        <v>134</v>
      </c>
      <c r="AN138" s="282">
        <v>6</v>
      </c>
      <c r="AO138" s="282" t="str">
        <f t="shared" si="88"/>
        <v/>
      </c>
      <c r="AP138" s="282" t="str">
        <f t="shared" si="78"/>
        <v/>
      </c>
      <c r="AQ138" s="282"/>
      <c r="AR138" s="282"/>
      <c r="AZ138" s="282" t="s">
        <v>134</v>
      </c>
    </row>
    <row r="139" spans="1:52" hidden="1" x14ac:dyDescent="0.25">
      <c r="A139" s="409"/>
      <c r="C139" s="282" t="s">
        <v>110</v>
      </c>
      <c r="D139" s="282"/>
      <c r="E139" s="462">
        <f t="shared" si="89"/>
        <v>0</v>
      </c>
      <c r="F139" s="463">
        <f t="shared" si="89"/>
        <v>0</v>
      </c>
      <c r="G139" s="460">
        <f t="shared" si="89"/>
        <v>0</v>
      </c>
      <c r="H139" s="467">
        <f t="shared" si="85"/>
        <v>0</v>
      </c>
      <c r="I139" s="468">
        <f t="shared" si="86"/>
        <v>0</v>
      </c>
      <c r="J139" s="469">
        <f t="shared" si="87"/>
        <v>0</v>
      </c>
      <c r="K139" s="456"/>
      <c r="L139" s="467">
        <f t="shared" si="79"/>
        <v>0</v>
      </c>
      <c r="M139" s="468">
        <f t="shared" si="80"/>
        <v>0</v>
      </c>
      <c r="N139" s="469">
        <f t="shared" si="81"/>
        <v>0</v>
      </c>
      <c r="O139" s="440"/>
      <c r="P139" s="467">
        <f t="shared" si="82"/>
        <v>0</v>
      </c>
      <c r="Q139" s="468">
        <f t="shared" si="83"/>
        <v>0</v>
      </c>
      <c r="R139" s="469">
        <f t="shared" si="84"/>
        <v>0</v>
      </c>
      <c r="S139" s="476" t="str">
        <f>IF(S$128="","",IF(AND($H50="",$I50="",$J50=""),"",E139))</f>
        <v/>
      </c>
      <c r="T139" s="477" t="str">
        <f>IF(T$128="","",IF(AND($L50="",$M50="",$N50=""),"",F139))</f>
        <v/>
      </c>
      <c r="U139" s="478" t="str">
        <f>IF(U$128="","",IF(AND($P50="",$Q50="",$R50=""),"",G139))</f>
        <v/>
      </c>
      <c r="V139" s="471" t="str">
        <f>IF(OR(V$128="",V$129="",V$129=0),"",IF(AND($H50="",$I50="",$J50=""),"",H139))</f>
        <v/>
      </c>
      <c r="W139" s="472" t="str">
        <f>IF(OR(W$128="",W$129="",W$129=0),"",IF(AND($L50="",$M50="",$N50=""),"",I139))</f>
        <v/>
      </c>
      <c r="X139" s="473" t="str">
        <f>IF(OR(X$128="",X$129="",X$129=0),"",IF(AND($P50="",$Q50="",$R50=""),"",J139))</f>
        <v/>
      </c>
      <c r="Y139" s="282"/>
      <c r="Z139" s="471" t="str">
        <f>IF(OR(Z$128="",Z$129="",Z$129=0),"",IF(AND($H50="",$I50="",$J50=""),"",L139))</f>
        <v/>
      </c>
      <c r="AA139" s="472" t="str">
        <f>IF(OR(AA$128="",AA$129="",AA$129=0),"",IF(AND($L50="",$M50="",$N50=""),"",M139))</f>
        <v/>
      </c>
      <c r="AB139" s="473" t="str">
        <f>IF(OR(AB$128="",AB$129="",AB$129=0),"",IF(AND($P50="",$Q50="",$R50=""),"",N139))</f>
        <v/>
      </c>
      <c r="AC139" s="282"/>
      <c r="AD139" s="471" t="str">
        <f>IF(OR(AD$128="",AD$129="",AD$129=0),"",IF(AND($H50="",$I50="",$J50=""),"",P139))</f>
        <v/>
      </c>
      <c r="AE139" s="472" t="str">
        <f>IF(OR(AE$128="",AE$129="",AE$129=0),"",IF(AND($L50="",$M50="",$N50=""),"",Q139))</f>
        <v/>
      </c>
      <c r="AF139" s="473" t="str">
        <f>IF(OR(AF$128="",AF$129="",AF$129=0),"",IF(AND($P50="",$Q50="",$R50=""),"",R139))</f>
        <v/>
      </c>
      <c r="AG139" s="282"/>
      <c r="AH139" s="461" t="str">
        <f t="shared" si="74"/>
        <v/>
      </c>
      <c r="AI139" s="461"/>
      <c r="AJ139" s="461" t="str">
        <f t="shared" si="75"/>
        <v/>
      </c>
      <c r="AK139" s="461" t="str">
        <f t="shared" si="76"/>
        <v/>
      </c>
      <c r="AL139" s="461" t="str">
        <f t="shared" si="77"/>
        <v/>
      </c>
      <c r="AM139" s="282" t="s">
        <v>135</v>
      </c>
      <c r="AN139" s="282">
        <v>7</v>
      </c>
      <c r="AO139" s="282" t="str">
        <f t="shared" si="88"/>
        <v/>
      </c>
      <c r="AP139" s="282" t="str">
        <f t="shared" si="78"/>
        <v/>
      </c>
      <c r="AQ139" s="282"/>
      <c r="AR139" s="282"/>
      <c r="AZ139" s="282" t="s">
        <v>135</v>
      </c>
    </row>
    <row r="140" spans="1:52" hidden="1" x14ac:dyDescent="0.25">
      <c r="A140" s="409"/>
      <c r="C140" s="282" t="s">
        <v>16</v>
      </c>
      <c r="D140" s="282"/>
      <c r="E140" s="462">
        <f t="shared" si="89"/>
        <v>0</v>
      </c>
      <c r="F140" s="463">
        <f t="shared" si="89"/>
        <v>0</v>
      </c>
      <c r="G140" s="460">
        <f t="shared" si="89"/>
        <v>0</v>
      </c>
      <c r="H140" s="467">
        <f t="shared" si="85"/>
        <v>0</v>
      </c>
      <c r="I140" s="468">
        <f t="shared" si="86"/>
        <v>0</v>
      </c>
      <c r="J140" s="469">
        <f t="shared" si="87"/>
        <v>0</v>
      </c>
      <c r="K140" s="470"/>
      <c r="L140" s="467">
        <f t="shared" si="79"/>
        <v>0</v>
      </c>
      <c r="M140" s="468">
        <f t="shared" si="80"/>
        <v>0</v>
      </c>
      <c r="N140" s="469">
        <f>IF(OR(G140="",$R$22="",$R$22=0),0,G140/$R$22)</f>
        <v>0</v>
      </c>
      <c r="O140" s="470"/>
      <c r="P140" s="467">
        <f t="shared" si="82"/>
        <v>0</v>
      </c>
      <c r="Q140" s="468">
        <f t="shared" si="83"/>
        <v>0</v>
      </c>
      <c r="R140" s="469">
        <f t="shared" si="84"/>
        <v>0</v>
      </c>
      <c r="S140" s="476" t="str">
        <f>IF(S$128="","",IF(AND($H51="",$I51="",$J51=""),"",E140))</f>
        <v/>
      </c>
      <c r="T140" s="477" t="str">
        <f>IF(T$128="","",IF(AND($L51="",$M51="",$N51=""),"",F140))</f>
        <v/>
      </c>
      <c r="U140" s="478" t="str">
        <f>IF(U$128="","",IF(AND($P51="",$Q51="",$R51=""),"",G140))</f>
        <v/>
      </c>
      <c r="V140" s="471" t="str">
        <f>IF(OR(V$128="",V$129="",V$129=0),"",IF(AND($H51="",$I51="",$J51=""),"",H140))</f>
        <v/>
      </c>
      <c r="W140" s="472" t="str">
        <f>IF(OR(W$128="",W$129="",W$129=0),"",IF(AND($L51="",$M51="",$N51=""),"",I140))</f>
        <v/>
      </c>
      <c r="X140" s="473" t="str">
        <f>IF(OR(X$128="",X$129="",X$129=0),"",IF(AND($P51="",$Q51="",$R51=""),"",J140))</f>
        <v/>
      </c>
      <c r="Y140" s="282"/>
      <c r="Z140" s="471" t="str">
        <f>IF(OR(Z$128="",Z$129="",Z$129=0),"",IF(AND($H51="",$I51="",$J51=""),"",L140))</f>
        <v/>
      </c>
      <c r="AA140" s="472" t="str">
        <f>IF(OR(AA$128="",AA$129="",AA$129=0),"",IF(AND($L51="",$M51="",$N51=""),"",M140))</f>
        <v/>
      </c>
      <c r="AB140" s="473" t="str">
        <f>IF(OR(AB$128="",AB$129="",AB$129=0),"",IF(AND($P51="",$Q51="",$R51=""),"",N140))</f>
        <v/>
      </c>
      <c r="AC140" s="282"/>
      <c r="AD140" s="471" t="str">
        <f>IF(OR(AD$128="",AD$129="",AD$129=0),"",IF(AND($H51="",$I51="",$J51=""),"",P140))</f>
        <v/>
      </c>
      <c r="AE140" s="472" t="str">
        <f>IF(OR(AE$128="",AE$129="",AE$129=0),"",IF(AND($L51="",$M51="",$N51=""),"",Q140))</f>
        <v/>
      </c>
      <c r="AF140" s="473" t="str">
        <f>IF(OR(AF$128="",AF$129="",AF$129=0),"",IF(AND($P51="",$Q51="",$R51=""),"",R140))</f>
        <v/>
      </c>
      <c r="AG140" s="282"/>
      <c r="AH140" s="461" t="str">
        <f t="shared" si="74"/>
        <v/>
      </c>
      <c r="AI140" s="461"/>
      <c r="AJ140" s="461" t="str">
        <f t="shared" si="75"/>
        <v/>
      </c>
      <c r="AK140" s="461" t="str">
        <f t="shared" si="76"/>
        <v/>
      </c>
      <c r="AL140" s="461" t="str">
        <f t="shared" si="77"/>
        <v/>
      </c>
      <c r="AM140" s="282" t="s">
        <v>0</v>
      </c>
      <c r="AN140" s="282">
        <v>9</v>
      </c>
      <c r="AO140" s="282" t="str">
        <f t="shared" si="88"/>
        <v/>
      </c>
      <c r="AP140" s="474" t="str">
        <f>IF(AH140&lt;&gt;"oui","",IF(AND(AH140="oui",MAX($AO$140:$AO$142,$AO$145:$AO$147)=AO140),AM140,CONCATENATE(AM140,", ")))</f>
        <v/>
      </c>
      <c r="AQ140" s="282"/>
      <c r="AR140" s="282"/>
      <c r="AZ140" s="282" t="s">
        <v>0</v>
      </c>
    </row>
    <row r="141" spans="1:52" hidden="1" x14ac:dyDescent="0.25">
      <c r="A141" s="409"/>
      <c r="C141" s="282" t="s">
        <v>6</v>
      </c>
      <c r="D141" s="282"/>
      <c r="E141" s="462">
        <f t="shared" si="89"/>
        <v>0</v>
      </c>
      <c r="F141" s="463">
        <f t="shared" si="89"/>
        <v>0</v>
      </c>
      <c r="G141" s="460">
        <f t="shared" si="89"/>
        <v>0</v>
      </c>
      <c r="H141" s="467">
        <f t="shared" si="85"/>
        <v>0</v>
      </c>
      <c r="I141" s="468">
        <f t="shared" si="86"/>
        <v>0</v>
      </c>
      <c r="J141" s="469">
        <f t="shared" si="87"/>
        <v>0</v>
      </c>
      <c r="K141" s="470"/>
      <c r="L141" s="467">
        <f t="shared" si="79"/>
        <v>0</v>
      </c>
      <c r="M141" s="468">
        <f t="shared" si="80"/>
        <v>0</v>
      </c>
      <c r="N141" s="469">
        <f t="shared" si="81"/>
        <v>0</v>
      </c>
      <c r="O141" s="470"/>
      <c r="P141" s="467">
        <f t="shared" si="82"/>
        <v>0</v>
      </c>
      <c r="Q141" s="468">
        <f t="shared" si="83"/>
        <v>0</v>
      </c>
      <c r="R141" s="469">
        <f t="shared" si="84"/>
        <v>0</v>
      </c>
      <c r="S141" s="476" t="str">
        <f>IF(S$128="","",IF(AND($H52="",$I52="",$J52=""),"",E141))</f>
        <v/>
      </c>
      <c r="T141" s="477" t="str">
        <f>IF(T$128="","",IF(AND($L52="",$M52="",$N52=""),"",F141))</f>
        <v/>
      </c>
      <c r="U141" s="478" t="str">
        <f>IF(U$128="","",IF(AND($P52="",$Q52="",$R52=""),"",G141))</f>
        <v/>
      </c>
      <c r="V141" s="471" t="str">
        <f>IF(OR(V$128="",V$129="",V$129=0),"",IF(AND($H52="",$I52="",$J52=""),"",H141))</f>
        <v/>
      </c>
      <c r="W141" s="472" t="str">
        <f>IF(OR(W$128="",W$129="",W$129=0),"",IF(AND($L52="",$M52="",$N52=""),"",I141))</f>
        <v/>
      </c>
      <c r="X141" s="473" t="str">
        <f>IF(OR(X$128="",X$129="",X$129=0),"",IF(AND($P52="",$Q52="",$R52=""),"",J141))</f>
        <v/>
      </c>
      <c r="Y141" s="282"/>
      <c r="Z141" s="471" t="str">
        <f>IF(OR(Z$128="",Z$129="",Z$129=0),"",IF(AND($H52="",$I52="",$J52=""),"",L141))</f>
        <v/>
      </c>
      <c r="AA141" s="472" t="str">
        <f>IF(OR(AA$128="",AA$129="",AA$129=0),"",IF(AND($L52="",$M52="",$N52=""),"",M141))</f>
        <v/>
      </c>
      <c r="AB141" s="473" t="str">
        <f>IF(OR(AB$128="",AB$129="",AB$129=0),"",IF(AND($P52="",$Q52="",$R52=""),"",N141))</f>
        <v/>
      </c>
      <c r="AC141" s="282"/>
      <c r="AD141" s="471" t="str">
        <f>IF(OR(AD$128="",AD$129="",AD$129=0),"",IF(AND($H52="",$I52="",$J52=""),"",P141))</f>
        <v/>
      </c>
      <c r="AE141" s="472" t="str">
        <f>IF(OR(AE$128="",AE$129="",AE$129=0),"",IF(AND($L52="",$M52="",$N52=""),"",Q141))</f>
        <v/>
      </c>
      <c r="AF141" s="473" t="str">
        <f>IF(OR(AF$128="",AF$129="",AF$129=0),"",IF(AND($P52="",$Q52="",$R52=""),"",R141))</f>
        <v/>
      </c>
      <c r="AG141" s="282"/>
      <c r="AH141" s="461" t="str">
        <f t="shared" si="74"/>
        <v/>
      </c>
      <c r="AI141" s="461"/>
      <c r="AJ141" s="461" t="str">
        <f t="shared" si="75"/>
        <v/>
      </c>
      <c r="AK141" s="461" t="str">
        <f t="shared" si="76"/>
        <v/>
      </c>
      <c r="AL141" s="461" t="str">
        <f t="shared" si="77"/>
        <v/>
      </c>
      <c r="AM141" s="282" t="s">
        <v>136</v>
      </c>
      <c r="AN141" s="282">
        <v>11</v>
      </c>
      <c r="AO141" s="282" t="str">
        <f t="shared" si="88"/>
        <v/>
      </c>
      <c r="AP141" s="474" t="str">
        <f>IF(AH141&lt;&gt;"oui","",IF(AND(AH141="oui",MAX($AO$140:$AO$142,$AO$145:$AO$147)=AO141),AM141,CONCATENATE(AM141,", ")))</f>
        <v/>
      </c>
      <c r="AQ141" s="282"/>
      <c r="AR141" s="282"/>
      <c r="AZ141" s="282" t="s">
        <v>136</v>
      </c>
    </row>
    <row r="142" spans="1:52" hidden="1" x14ac:dyDescent="0.25">
      <c r="A142" s="409"/>
      <c r="C142" s="282" t="s">
        <v>7</v>
      </c>
      <c r="D142" s="282"/>
      <c r="E142" s="462">
        <f>IF($U$25&lt;&gt;"ok",0,SUM(X53:X54))</f>
        <v>0</v>
      </c>
      <c r="F142" s="463">
        <f>IF($U$25&lt;&gt;"ok",0,SUM(Y53:Y54))</f>
        <v>0</v>
      </c>
      <c r="G142" s="460">
        <f>IF($U$25&lt;&gt;"ok",0,SUM(Z53:Z54))</f>
        <v>0</v>
      </c>
      <c r="H142" s="467">
        <f t="shared" si="85"/>
        <v>0</v>
      </c>
      <c r="I142" s="468">
        <f t="shared" si="86"/>
        <v>0</v>
      </c>
      <c r="J142" s="469">
        <f t="shared" si="87"/>
        <v>0</v>
      </c>
      <c r="K142" s="470"/>
      <c r="L142" s="467">
        <f t="shared" si="79"/>
        <v>0</v>
      </c>
      <c r="M142" s="468">
        <f t="shared" si="80"/>
        <v>0</v>
      </c>
      <c r="N142" s="469">
        <f t="shared" si="81"/>
        <v>0</v>
      </c>
      <c r="O142" s="470"/>
      <c r="P142" s="467">
        <f t="shared" si="82"/>
        <v>0</v>
      </c>
      <c r="Q142" s="468">
        <f t="shared" si="83"/>
        <v>0</v>
      </c>
      <c r="R142" s="469">
        <f t="shared" si="84"/>
        <v>0</v>
      </c>
      <c r="S142" s="471" t="str">
        <f>IF(S$128="","",IF(COUNTBLANK($H$53:$J$54)=6,"",E142))</f>
        <v/>
      </c>
      <c r="T142" s="472" t="str">
        <f>IF(T$128="","",IF(COUNTBLANK($L$53:$N$54)=6,"",F142))</f>
        <v/>
      </c>
      <c r="U142" s="473" t="str">
        <f>IF(U$128="","",IF(COUNTBLANK($P$53:$R$54)=6,"",G142))</f>
        <v/>
      </c>
      <c r="V142" s="471" t="str">
        <f>IF(OR(V$128="",V$129="",V$129=0),"",IF(COUNTBLANK($H$53:$J$54)=6,"",H142))</f>
        <v/>
      </c>
      <c r="W142" s="472" t="str">
        <f>IF(OR(W$128="",W$129="",W$129=0),"",IF(COUNTBLANK($L$53:$N$54)=6,"",I142))</f>
        <v/>
      </c>
      <c r="X142" s="473" t="str">
        <f>IF(OR(X$128="",X$129="",X$129=0),"",IF(COUNTBLANK($P$53:$R$54)=6,"",J142))</f>
        <v/>
      </c>
      <c r="Y142" s="474"/>
      <c r="Z142" s="471" t="str">
        <f>IF(OR(Z$128="",Z$129="",Z$129=0),"",IF(COUNTBLANK($H$53:$J$54)=6,"",L142))</f>
        <v/>
      </c>
      <c r="AA142" s="472" t="str">
        <f>IF(OR(AA$128="",AA$129="",AA$129=0),"",IF(COUNTBLANK($L$53:$N$54)=6,"",M142))</f>
        <v/>
      </c>
      <c r="AB142" s="473" t="str">
        <f>IF(OR(AB$128="",AB$129="",AB$129=0),"",IF(COUNTBLANK($P$53:$R$54)=6,"",N142))</f>
        <v/>
      </c>
      <c r="AC142" s="474"/>
      <c r="AD142" s="471" t="str">
        <f>IF(OR(AD$128="",AD$129="",AD$129=0),"",IF(COUNTBLANK($H$53:$J$54)=6,"",P142))</f>
        <v/>
      </c>
      <c r="AE142" s="472" t="str">
        <f>IF(OR(AE$128="",AE$129="",AE$129=0),"",IF(COUNTBLANK($L$53:$N$54)=6,"",Q142))</f>
        <v/>
      </c>
      <c r="AF142" s="473" t="str">
        <f>IF(OR(AF$128="",AF$129="",AF$129=0),"",IF(COUNTBLANK($P$53:$R$54)=6,"",R142))</f>
        <v/>
      </c>
      <c r="AG142" s="282"/>
      <c r="AH142" s="461" t="str">
        <f t="shared" si="74"/>
        <v/>
      </c>
      <c r="AI142" s="461"/>
      <c r="AJ142" s="461" t="str">
        <f t="shared" si="75"/>
        <v/>
      </c>
      <c r="AK142" s="461" t="str">
        <f t="shared" si="76"/>
        <v/>
      </c>
      <c r="AL142" s="461" t="str">
        <f t="shared" si="77"/>
        <v/>
      </c>
      <c r="AM142" s="282" t="s">
        <v>137</v>
      </c>
      <c r="AN142" s="282">
        <v>12</v>
      </c>
      <c r="AO142" s="282" t="str">
        <f t="shared" si="88"/>
        <v/>
      </c>
      <c r="AP142" s="474" t="str">
        <f>IF(AH142&lt;&gt;"oui","",IF(AND(AH142="oui",MAX($AO$140:$AO$142,$AO$145:$AO$147)=AO142),AM142,CONCATENATE(AM142,", ")))</f>
        <v/>
      </c>
      <c r="AQ142" s="282"/>
      <c r="AR142" s="282"/>
      <c r="AZ142" s="282" t="s">
        <v>137</v>
      </c>
    </row>
    <row r="143" spans="1:52" hidden="1" x14ac:dyDescent="0.25">
      <c r="A143" s="409"/>
      <c r="C143" s="282" t="s">
        <v>52</v>
      </c>
      <c r="D143" s="282"/>
      <c r="E143" s="462">
        <f>IF($U$25&lt;&gt;"ok",0,SUM(X56:X63))</f>
        <v>0</v>
      </c>
      <c r="F143" s="463">
        <f>IF($U$25&lt;&gt;"ok",0,SUM(Y56:Y63))</f>
        <v>0</v>
      </c>
      <c r="G143" s="460">
        <f>IF($U$25&lt;&gt;"ok",0,SUM(Z56:Z63))</f>
        <v>0</v>
      </c>
      <c r="H143" s="467">
        <f t="shared" si="85"/>
        <v>0</v>
      </c>
      <c r="I143" s="468">
        <f t="shared" si="86"/>
        <v>0</v>
      </c>
      <c r="J143" s="469">
        <f t="shared" si="87"/>
        <v>0</v>
      </c>
      <c r="K143" s="470"/>
      <c r="L143" s="467">
        <f t="shared" si="79"/>
        <v>0</v>
      </c>
      <c r="M143" s="468">
        <f t="shared" si="80"/>
        <v>0</v>
      </c>
      <c r="N143" s="469">
        <f t="shared" si="81"/>
        <v>0</v>
      </c>
      <c r="O143" s="470"/>
      <c r="P143" s="467">
        <f>IF(OR(E143="",$J$23="",$J$23=0),0,E143/$J$23)</f>
        <v>0</v>
      </c>
      <c r="Q143" s="468">
        <f t="shared" si="83"/>
        <v>0</v>
      </c>
      <c r="R143" s="469">
        <f t="shared" si="84"/>
        <v>0</v>
      </c>
      <c r="S143" s="471" t="str">
        <f>IF(OR(E143=0,E143=""),"",E143)</f>
        <v/>
      </c>
      <c r="T143" s="472" t="str">
        <f t="shared" ref="T143:U143" si="90">IF(OR(F143=0,F143=""),"",F143)</f>
        <v/>
      </c>
      <c r="U143" s="473" t="str">
        <f t="shared" si="90"/>
        <v/>
      </c>
      <c r="V143" s="471" t="str">
        <f>IF(OR(H143=0,H143=""),"",H143)</f>
        <v/>
      </c>
      <c r="W143" s="472" t="str">
        <f t="shared" ref="W143:X143" si="91">IF(OR(I143=0,I143=""),"",I143)</f>
        <v/>
      </c>
      <c r="X143" s="473" t="str">
        <f t="shared" si="91"/>
        <v/>
      </c>
      <c r="Y143" s="474"/>
      <c r="Z143" s="471" t="str">
        <f>IF(OR(L143=0,L143=""),"",L143)</f>
        <v/>
      </c>
      <c r="AA143" s="472" t="str">
        <f t="shared" ref="AA143" si="92">IF(OR(M143=0,M143=""),"",M143)</f>
        <v/>
      </c>
      <c r="AB143" s="473" t="str">
        <f>IF(OR(N143=0,N143=""),"",N143)</f>
        <v/>
      </c>
      <c r="AC143" s="474"/>
      <c r="AD143" s="471" t="str">
        <f>IF(OR(P143=0,P143=""),"",P143)</f>
        <v/>
      </c>
      <c r="AE143" s="472" t="str">
        <f>IF(OR(Q143=0,Q143=""),"",Q143)</f>
        <v/>
      </c>
      <c r="AF143" s="473" t="str">
        <f>IF(OR(R143=0,R143=""),"",R143)</f>
        <v/>
      </c>
      <c r="AG143" s="282"/>
      <c r="AH143" s="479"/>
      <c r="AI143" s="479"/>
      <c r="AJ143" s="479"/>
      <c r="AK143" s="479"/>
      <c r="AL143" s="479"/>
      <c r="AM143" s="282"/>
      <c r="AN143" s="282"/>
      <c r="AO143" s="282"/>
      <c r="AP143" s="282"/>
      <c r="AQ143" s="282"/>
      <c r="AR143" s="282"/>
      <c r="AZ143" s="282"/>
    </row>
    <row r="144" spans="1:52" hidden="1" x14ac:dyDescent="0.25">
      <c r="A144" s="409"/>
      <c r="C144" s="480" t="s">
        <v>12</v>
      </c>
      <c r="D144" s="481"/>
      <c r="E144" s="482">
        <f>IF($U$25&lt;&gt;"ok",0,X67)</f>
        <v>0</v>
      </c>
      <c r="F144" s="483">
        <f>IF($U$25&lt;&gt;"ok",0,Y67)</f>
        <v>0</v>
      </c>
      <c r="G144" s="484">
        <f>IF($U$25&lt;&gt;"ok",0,Z67)</f>
        <v>0</v>
      </c>
      <c r="H144" s="485">
        <f>IF(OR(E144="",$J$21="",$J$21=0),0,E144/$J$21)</f>
        <v>0</v>
      </c>
      <c r="I144" s="486">
        <f t="shared" si="86"/>
        <v>0</v>
      </c>
      <c r="J144" s="487">
        <f t="shared" si="87"/>
        <v>0</v>
      </c>
      <c r="K144" s="486"/>
      <c r="L144" s="485">
        <f t="shared" si="79"/>
        <v>0</v>
      </c>
      <c r="M144" s="486">
        <f t="shared" si="80"/>
        <v>0</v>
      </c>
      <c r="N144" s="487">
        <f t="shared" si="81"/>
        <v>0</v>
      </c>
      <c r="O144" s="486"/>
      <c r="P144" s="485">
        <f t="shared" si="82"/>
        <v>0</v>
      </c>
      <c r="Q144" s="486">
        <f t="shared" si="83"/>
        <v>0</v>
      </c>
      <c r="R144" s="487">
        <f t="shared" si="84"/>
        <v>0</v>
      </c>
      <c r="S144" s="488" t="str">
        <f>IF(S$128="","",IF(AND($J65="",$J66="",$J67=""),"",E144))</f>
        <v/>
      </c>
      <c r="T144" s="489" t="str">
        <f>IF(T$128="","",IF(AND($N65="",$N66="",$N67=""),"",F144))</f>
        <v/>
      </c>
      <c r="U144" s="490" t="str">
        <f>IF(U$128="","",IF(AND($R65="",$R66="",$R67=""),"",G144))</f>
        <v/>
      </c>
      <c r="V144" s="488" t="str">
        <f>IF(OR(V$128="",V$129="",V$129=0),"",IF(AND($J65="",$J66="",$J67=""),"",H144))</f>
        <v/>
      </c>
      <c r="W144" s="489" t="str">
        <f>IF(OR(W$128="",W$129="",W$129=0),"",IF(AND($N65="",$N66="",$N67=""),"",I144))</f>
        <v/>
      </c>
      <c r="X144" s="490" t="str">
        <f>IF(OR(X$128="",X$129="",X$129=0),"",IF(AND($R65="",$R66="",$R67=""),"",J144))</f>
        <v/>
      </c>
      <c r="Y144" s="282"/>
      <c r="Z144" s="488" t="str">
        <f>IF(OR(Z$128="",Z$129="",Z$129=0),"",IF(AND($J65="",$J66="",$J67=""),"",L144))</f>
        <v/>
      </c>
      <c r="AA144" s="489" t="str">
        <f>IF(OR(AA$128="",AA$129="",AA$129=0),"",IF(AND($N65="",$N66="",$N67=""),"",M144))</f>
        <v/>
      </c>
      <c r="AB144" s="478" t="str">
        <f>IF(OR(AB$128="",AB$129="",AB$129=0),"",IF(AND($R65="",$R66="",$R67=""),"",N144))</f>
        <v/>
      </c>
      <c r="AC144" s="282"/>
      <c r="AD144" s="488" t="str">
        <f>IF(OR(AD$128="",AD$129="",AD$129=0),"",IF(AND($J65="",$J66="",$J67=""),"",P144))</f>
        <v/>
      </c>
      <c r="AE144" s="489" t="str">
        <f>IF(OR(AE$128="",AE$129="",AE$129=0),"",IF(AND($N65="",$N66="",$N67=""),"",Q144))</f>
        <v/>
      </c>
      <c r="AF144" s="490" t="str">
        <f>IF(OR(AF$128="",AF$129="",AF$129=0),"",IF(AND($R65="",$R66="",$R67=""),"",R144))</f>
        <v/>
      </c>
      <c r="AG144" s="282"/>
      <c r="AH144" s="461" t="str">
        <f t="shared" ref="AH144:AH153" si="93">IF(COUNTBLANK(S144:U144)=3,"",IF(SUM(S144:U144)=0,"","oui"))</f>
        <v/>
      </c>
      <c r="AI144" s="461"/>
      <c r="AJ144" s="461" t="str">
        <f t="shared" ref="AJ144:AJ153" si="94">IF(COUNTBLANK(V144:X144)=3,"",IF(SUM(V144:X144)=0,"","oui"))</f>
        <v/>
      </c>
      <c r="AK144" s="461" t="str">
        <f t="shared" ref="AK144:AK153" si="95">IF(COUNTBLANK(Z144:AB144)=3,"",IF(SUM(Z144:AB144)=0,"","oui"))</f>
        <v/>
      </c>
      <c r="AL144" s="461" t="str">
        <f t="shared" ref="AL144:AL153" si="96">IF(COUNTBLANK(AD144:AF144)=4,"",IF(SUM(AD144:AF144)=0,"","oui"))</f>
        <v/>
      </c>
      <c r="AM144" s="282" t="s">
        <v>189</v>
      </c>
      <c r="AN144" s="282">
        <v>17</v>
      </c>
      <c r="AO144" s="282" t="str">
        <f t="shared" ref="AO144:AO152" si="97">IF(AH144="oui",AN144,"")</f>
        <v/>
      </c>
      <c r="AP144" s="282" t="str">
        <f>IF(AH144&lt;&gt;"oui","",IF(AND(AH144="oui",MAX($AO$132:$AO$153)=AO144),AM144,CONCATENATE(AM144,", ")))</f>
        <v/>
      </c>
      <c r="AQ144" s="282"/>
      <c r="AR144" s="282"/>
      <c r="AZ144" s="282" t="s">
        <v>149</v>
      </c>
    </row>
    <row r="145" spans="1:52" hidden="1" x14ac:dyDescent="0.25">
      <c r="A145" s="409"/>
      <c r="C145" s="491" t="s">
        <v>11</v>
      </c>
      <c r="D145" s="492"/>
      <c r="E145" s="462">
        <f t="shared" ref="E145:G152" si="98">IF($U$25&lt;&gt;"ok",0,X56)</f>
        <v>0</v>
      </c>
      <c r="F145" s="463">
        <f t="shared" si="98"/>
        <v>0</v>
      </c>
      <c r="G145" s="460">
        <f t="shared" si="98"/>
        <v>0</v>
      </c>
      <c r="H145" s="467">
        <f t="shared" ref="H145" si="99">IF(OR(E145="",$J$21="",$J$21=0),0,E145/$J$21)</f>
        <v>0</v>
      </c>
      <c r="I145" s="468">
        <f t="shared" ref="I145:I146" si="100">IF(OR(F145="",$N$21="",$N$21=0),0,F145/$N$21)</f>
        <v>0</v>
      </c>
      <c r="J145" s="469">
        <f t="shared" ref="J145:J146" si="101">IF(OR(G145="",$R$21="",$R$21=0),0,G145/$R$21)</f>
        <v>0</v>
      </c>
      <c r="K145" s="470"/>
      <c r="L145" s="467">
        <f t="shared" ref="L145:L152" si="102">IF(OR(E145="",$J$22="",$J$22=0),0,E145/$J$22)</f>
        <v>0</v>
      </c>
      <c r="M145" s="468">
        <f t="shared" ref="M145:M152" si="103">IF(OR(F145="",$N$22="",$N$22=0),0,F145/$N$22)</f>
        <v>0</v>
      </c>
      <c r="N145" s="469">
        <f t="shared" ref="N145:N152" si="104">IF(OR(G145="",$R$22="",$R$22=0),0,G145/$R$22)</f>
        <v>0</v>
      </c>
      <c r="O145" s="470"/>
      <c r="P145" s="467">
        <f>IF(OR(E145="",$J$23="",$J$23=0),0,E145/$J$23)</f>
        <v>0</v>
      </c>
      <c r="Q145" s="468">
        <f t="shared" ref="Q145:Q152" si="105">IF(OR(F145="",$N$23="",$N$23=0),0,F145/$N$23)</f>
        <v>0</v>
      </c>
      <c r="R145" s="469">
        <f t="shared" ref="R145:R152" si="106">IF(OR(G145="",$R$23="",$R$23=0),0,G145/$R$23)</f>
        <v>0</v>
      </c>
      <c r="S145" s="476" t="str">
        <f t="shared" ref="S145:S152" si="107">IF(S$128="","",IF(AND($H56="",$I56="",$J56=""),"",E145))</f>
        <v/>
      </c>
      <c r="T145" s="477" t="str">
        <f t="shared" ref="T145:T152" si="108">IF(T$128="","",IF(AND($L56="",$M56="",$N56=""),"",F145))</f>
        <v/>
      </c>
      <c r="U145" s="478" t="str">
        <f t="shared" ref="U145:U152" si="109">IF(U$128="","",IF(AND($P56="",$Q56="",$R56=""),"",G145))</f>
        <v/>
      </c>
      <c r="V145" s="476" t="str">
        <f t="shared" ref="V145:V152" si="110">IF(OR(V$128="",V$129="",V$129=0),"",IF(AND($H56="",$I56="",$J56=""),"",H145))</f>
        <v/>
      </c>
      <c r="W145" s="477" t="str">
        <f t="shared" ref="W145:W152" si="111">IF(OR(W$128="",W$129="",W$129=0),"",IF(AND($L56="",$M56="",$N56=""),"",I145))</f>
        <v/>
      </c>
      <c r="X145" s="478" t="str">
        <f t="shared" ref="X145:X152" si="112">IF(OR(X$128="",X$129="",X$129=0),"",IF(AND($P56="",$Q56="",$R56=""),"",J145))</f>
        <v/>
      </c>
      <c r="Y145" s="282"/>
      <c r="Z145" s="476" t="str">
        <f t="shared" ref="Z145:Z152" si="113">IF(OR(Z$128="",Z$129="",Z$129=0),"",IF(AND($H56="",$I56="",$J56=""),"",L145))</f>
        <v/>
      </c>
      <c r="AA145" s="477" t="str">
        <f t="shared" ref="AA145:AA152" si="114">IF(OR(AA$128="",AA$129="",AA$129=0),"",IF(AND($L56="",$M56="",$N56=""),"",M145))</f>
        <v/>
      </c>
      <c r="AB145" s="478" t="str">
        <f t="shared" ref="AB145:AB152" si="115">IF(OR(AB$128="",AB$129="",AB$129=0),"",IF(AND($P56="",$Q56="",$R56=""),"",N145))</f>
        <v/>
      </c>
      <c r="AC145" s="282"/>
      <c r="AD145" s="476" t="str">
        <f t="shared" ref="AD145:AD152" si="116">IF(OR(AD$128="",AD$129="",AD$129=0),"",IF(AND($H56="",$I56="",$J56=""),"",P145))</f>
        <v/>
      </c>
      <c r="AE145" s="477" t="str">
        <f t="shared" ref="AE145:AE152" si="117">IF(OR(AE$128="",AE$129="",AE$129=0),"",IF(AND($L56="",$M56="",$N56=""),"",Q145))</f>
        <v/>
      </c>
      <c r="AF145" s="478" t="str">
        <f t="shared" ref="AF145:AF152" si="118">IF(OR(AF$128="",AF$129="",AF$129=0),"",IF(AND($P56="",$Q56="",$R56=""),"",R145))</f>
        <v/>
      </c>
      <c r="AG145" s="282"/>
      <c r="AH145" s="461" t="str">
        <f t="shared" si="93"/>
        <v/>
      </c>
      <c r="AI145" s="461"/>
      <c r="AJ145" s="461" t="str">
        <f t="shared" si="94"/>
        <v/>
      </c>
      <c r="AK145" s="461" t="str">
        <f t="shared" si="95"/>
        <v/>
      </c>
      <c r="AL145" s="461" t="str">
        <f t="shared" si="96"/>
        <v/>
      </c>
      <c r="AM145" s="282" t="s">
        <v>11</v>
      </c>
      <c r="AN145" s="282">
        <v>13</v>
      </c>
      <c r="AO145" s="282" t="str">
        <f t="shared" si="97"/>
        <v/>
      </c>
      <c r="AP145" s="474" t="str">
        <f>IF(AH145&lt;&gt;"oui","",IF(AND(AH145="oui",MAX($AO$140:$AO$142,$AO$145:$AO$147)=AO145),AM145,CONCATENATE(AM145,", ")))</f>
        <v/>
      </c>
      <c r="AQ145" s="282" t="str">
        <f t="shared" ref="AQ145:AQ152" si="119">IF(AH145="oui",AN145,"")</f>
        <v/>
      </c>
      <c r="AR145" s="474" t="str">
        <f>IF(AH145&lt;&gt;"oui","",IF(AND(AH145="oui",MAX($AQ$140:$AQ$142,$AQ$145:$AQ$147)=AQ145),AM145,CONCATENATE(AM145,", ")))</f>
        <v/>
      </c>
      <c r="AZ145" s="282" t="s">
        <v>144</v>
      </c>
    </row>
    <row r="146" spans="1:52" hidden="1" x14ac:dyDescent="0.25">
      <c r="A146" s="409"/>
      <c r="C146" s="493" t="s">
        <v>108</v>
      </c>
      <c r="D146" s="492"/>
      <c r="E146" s="462">
        <f t="shared" si="98"/>
        <v>0</v>
      </c>
      <c r="F146" s="463">
        <f t="shared" si="98"/>
        <v>0</v>
      </c>
      <c r="G146" s="460">
        <f t="shared" si="98"/>
        <v>0</v>
      </c>
      <c r="H146" s="467">
        <f>IF(OR(E146="",$J$21="",$J$21=0),0,E146/$J$21)</f>
        <v>0</v>
      </c>
      <c r="I146" s="468">
        <f t="shared" si="100"/>
        <v>0</v>
      </c>
      <c r="J146" s="469">
        <f t="shared" si="101"/>
        <v>0</v>
      </c>
      <c r="K146" s="470"/>
      <c r="L146" s="467">
        <f t="shared" si="102"/>
        <v>0</v>
      </c>
      <c r="M146" s="468">
        <f t="shared" si="103"/>
        <v>0</v>
      </c>
      <c r="N146" s="469">
        <f t="shared" si="104"/>
        <v>0</v>
      </c>
      <c r="O146" s="470"/>
      <c r="P146" s="467">
        <f t="shared" ref="P146:P152" si="120">IF(OR(E146="",$J$23="",$J$23=0),0,E146/$J$23)</f>
        <v>0</v>
      </c>
      <c r="Q146" s="468">
        <f t="shared" si="105"/>
        <v>0</v>
      </c>
      <c r="R146" s="469">
        <f t="shared" si="106"/>
        <v>0</v>
      </c>
      <c r="S146" s="476" t="str">
        <f t="shared" si="107"/>
        <v/>
      </c>
      <c r="T146" s="477" t="str">
        <f t="shared" si="108"/>
        <v/>
      </c>
      <c r="U146" s="478" t="str">
        <f t="shared" si="109"/>
        <v/>
      </c>
      <c r="V146" s="476" t="str">
        <f t="shared" si="110"/>
        <v/>
      </c>
      <c r="W146" s="477" t="str">
        <f t="shared" si="111"/>
        <v/>
      </c>
      <c r="X146" s="478" t="str">
        <f t="shared" si="112"/>
        <v/>
      </c>
      <c r="Y146" s="282"/>
      <c r="Z146" s="476" t="str">
        <f t="shared" si="113"/>
        <v/>
      </c>
      <c r="AA146" s="477" t="str">
        <f t="shared" si="114"/>
        <v/>
      </c>
      <c r="AB146" s="478" t="str">
        <f t="shared" si="115"/>
        <v/>
      </c>
      <c r="AC146" s="282"/>
      <c r="AD146" s="476" t="str">
        <f t="shared" si="116"/>
        <v/>
      </c>
      <c r="AE146" s="477" t="str">
        <f t="shared" si="117"/>
        <v/>
      </c>
      <c r="AF146" s="478" t="str">
        <f t="shared" si="118"/>
        <v/>
      </c>
      <c r="AG146" s="282"/>
      <c r="AH146" s="461" t="str">
        <f t="shared" si="93"/>
        <v/>
      </c>
      <c r="AI146" s="461"/>
      <c r="AJ146" s="461" t="str">
        <f t="shared" si="94"/>
        <v/>
      </c>
      <c r="AK146" s="461" t="str">
        <f t="shared" si="95"/>
        <v/>
      </c>
      <c r="AL146" s="461" t="str">
        <f t="shared" si="96"/>
        <v/>
      </c>
      <c r="AM146" s="494" t="s">
        <v>190</v>
      </c>
      <c r="AN146" s="282">
        <v>10</v>
      </c>
      <c r="AO146" s="282" t="str">
        <f t="shared" si="97"/>
        <v/>
      </c>
      <c r="AP146" s="474" t="str">
        <f>IF(AH146&lt;&gt;"oui","",IF(AND(AH146="oui",MAX($AO$140:$AO$142,$AO$145:$AO$147)=AO146),AM146,CONCATENATE(AM146,", ")))</f>
        <v/>
      </c>
      <c r="AQ146" s="282" t="str">
        <f t="shared" si="119"/>
        <v/>
      </c>
      <c r="AR146" s="474" t="str">
        <f>IF(AH146&lt;&gt;"oui","",IF(AND(AH146="oui",MAX($AQ$140:$AQ$142,$AQ$145:$AQ$147)=AQ146),AM146,CONCATENATE(AM146,", ")))</f>
        <v/>
      </c>
      <c r="AZ146" s="494" t="s">
        <v>145</v>
      </c>
    </row>
    <row r="147" spans="1:52" hidden="1" x14ac:dyDescent="0.25">
      <c r="A147" s="409"/>
      <c r="B147" s="409"/>
      <c r="C147" s="493" t="s">
        <v>10</v>
      </c>
      <c r="D147" s="492"/>
      <c r="E147" s="462">
        <f t="shared" si="98"/>
        <v>0</v>
      </c>
      <c r="F147" s="463">
        <f t="shared" si="98"/>
        <v>0</v>
      </c>
      <c r="G147" s="460">
        <f t="shared" si="98"/>
        <v>0</v>
      </c>
      <c r="H147" s="467">
        <f t="shared" ref="H147:H152" si="121">IF(OR(E147="",$J$21="",$J$21=0),0,E147/$J$21)</f>
        <v>0</v>
      </c>
      <c r="I147" s="468">
        <f t="shared" ref="I147:I152" si="122">IF(OR(F147="",$N$21="",$N$21=0),0,F147/$N$21)</f>
        <v>0</v>
      </c>
      <c r="J147" s="469">
        <f t="shared" ref="J147:J152" si="123">IF(OR(G147="",$R$21="",$R$21=0),0,G147/$R$21)</f>
        <v>0</v>
      </c>
      <c r="K147" s="470"/>
      <c r="L147" s="467">
        <f t="shared" si="102"/>
        <v>0</v>
      </c>
      <c r="M147" s="468">
        <f t="shared" si="103"/>
        <v>0</v>
      </c>
      <c r="N147" s="469">
        <f t="shared" si="104"/>
        <v>0</v>
      </c>
      <c r="O147" s="470"/>
      <c r="P147" s="467">
        <f t="shared" si="120"/>
        <v>0</v>
      </c>
      <c r="Q147" s="468">
        <f t="shared" si="105"/>
        <v>0</v>
      </c>
      <c r="R147" s="469">
        <f t="shared" si="106"/>
        <v>0</v>
      </c>
      <c r="S147" s="476" t="str">
        <f t="shared" si="107"/>
        <v/>
      </c>
      <c r="T147" s="477" t="str">
        <f t="shared" si="108"/>
        <v/>
      </c>
      <c r="U147" s="478" t="str">
        <f t="shared" si="109"/>
        <v/>
      </c>
      <c r="V147" s="476" t="str">
        <f t="shared" si="110"/>
        <v/>
      </c>
      <c r="W147" s="477" t="str">
        <f t="shared" si="111"/>
        <v/>
      </c>
      <c r="X147" s="478" t="str">
        <f t="shared" si="112"/>
        <v/>
      </c>
      <c r="Y147" s="282"/>
      <c r="Z147" s="476" t="str">
        <f t="shared" si="113"/>
        <v/>
      </c>
      <c r="AA147" s="477" t="str">
        <f t="shared" si="114"/>
        <v/>
      </c>
      <c r="AB147" s="478" t="str">
        <f t="shared" si="115"/>
        <v/>
      </c>
      <c r="AC147" s="282"/>
      <c r="AD147" s="476" t="str">
        <f t="shared" si="116"/>
        <v/>
      </c>
      <c r="AE147" s="477" t="str">
        <f t="shared" si="117"/>
        <v/>
      </c>
      <c r="AF147" s="478" t="str">
        <f t="shared" si="118"/>
        <v/>
      </c>
      <c r="AG147" s="282"/>
      <c r="AH147" s="461" t="str">
        <f t="shared" si="93"/>
        <v/>
      </c>
      <c r="AI147" s="461"/>
      <c r="AJ147" s="461" t="str">
        <f t="shared" si="94"/>
        <v/>
      </c>
      <c r="AK147" s="461" t="str">
        <f t="shared" si="95"/>
        <v/>
      </c>
      <c r="AL147" s="461" t="str">
        <f t="shared" si="96"/>
        <v/>
      </c>
      <c r="AM147" s="282" t="s">
        <v>191</v>
      </c>
      <c r="AN147" s="282">
        <v>14</v>
      </c>
      <c r="AO147" s="282" t="str">
        <f t="shared" si="97"/>
        <v/>
      </c>
      <c r="AP147" s="474" t="str">
        <f>IF(AH147&lt;&gt;"oui","",IF(AND(AH147="oui",MAX($AO$140:$AO$142,$AO$145:$AO$147)=AO147),AM147,CONCATENATE(AM147,", ")))</f>
        <v/>
      </c>
      <c r="AQ147" s="282" t="str">
        <f t="shared" si="119"/>
        <v/>
      </c>
      <c r="AR147" s="474" t="str">
        <f>IF(AH147&lt;&gt;"oui","",IF(AND(AH147="oui",MAX($AQ$140:$AQ$142,$AQ$145:$AQ$147)=AQ147),AM147,CONCATENATE(AM147,", ")))</f>
        <v/>
      </c>
      <c r="AZ147" s="282" t="s">
        <v>146</v>
      </c>
    </row>
    <row r="148" spans="1:52" hidden="1" x14ac:dyDescent="0.25">
      <c r="A148" s="409"/>
      <c r="B148" s="409"/>
      <c r="C148" s="493" t="s">
        <v>8</v>
      </c>
      <c r="D148" s="492"/>
      <c r="E148" s="462">
        <f t="shared" si="98"/>
        <v>0</v>
      </c>
      <c r="F148" s="463">
        <f t="shared" si="98"/>
        <v>0</v>
      </c>
      <c r="G148" s="460">
        <f t="shared" si="98"/>
        <v>0</v>
      </c>
      <c r="H148" s="467">
        <f t="shared" si="121"/>
        <v>0</v>
      </c>
      <c r="I148" s="468">
        <f t="shared" si="122"/>
        <v>0</v>
      </c>
      <c r="J148" s="469">
        <f t="shared" si="123"/>
        <v>0</v>
      </c>
      <c r="K148" s="470"/>
      <c r="L148" s="467">
        <f t="shared" si="102"/>
        <v>0</v>
      </c>
      <c r="M148" s="468">
        <f t="shared" si="103"/>
        <v>0</v>
      </c>
      <c r="N148" s="469">
        <f t="shared" si="104"/>
        <v>0</v>
      </c>
      <c r="O148" s="470"/>
      <c r="P148" s="467">
        <f t="shared" si="120"/>
        <v>0</v>
      </c>
      <c r="Q148" s="468">
        <f t="shared" si="105"/>
        <v>0</v>
      </c>
      <c r="R148" s="469">
        <f t="shared" si="106"/>
        <v>0</v>
      </c>
      <c r="S148" s="476" t="str">
        <f t="shared" si="107"/>
        <v/>
      </c>
      <c r="T148" s="477" t="str">
        <f t="shared" si="108"/>
        <v/>
      </c>
      <c r="U148" s="478" t="str">
        <f t="shared" si="109"/>
        <v/>
      </c>
      <c r="V148" s="476" t="str">
        <f t="shared" si="110"/>
        <v/>
      </c>
      <c r="W148" s="477" t="str">
        <f t="shared" si="111"/>
        <v/>
      </c>
      <c r="X148" s="478" t="str">
        <f t="shared" si="112"/>
        <v/>
      </c>
      <c r="Y148" s="282"/>
      <c r="Z148" s="476" t="str">
        <f t="shared" si="113"/>
        <v/>
      </c>
      <c r="AA148" s="477" t="str">
        <f t="shared" si="114"/>
        <v/>
      </c>
      <c r="AB148" s="478" t="str">
        <f t="shared" si="115"/>
        <v/>
      </c>
      <c r="AC148" s="282"/>
      <c r="AD148" s="476" t="str">
        <f t="shared" si="116"/>
        <v/>
      </c>
      <c r="AE148" s="477" t="str">
        <f t="shared" si="117"/>
        <v/>
      </c>
      <c r="AF148" s="478" t="str">
        <f t="shared" si="118"/>
        <v/>
      </c>
      <c r="AG148" s="282"/>
      <c r="AH148" s="461" t="str">
        <f t="shared" si="93"/>
        <v/>
      </c>
      <c r="AI148" s="461"/>
      <c r="AJ148" s="461" t="str">
        <f t="shared" si="94"/>
        <v/>
      </c>
      <c r="AK148" s="461" t="str">
        <f t="shared" si="95"/>
        <v/>
      </c>
      <c r="AL148" s="461" t="str">
        <f t="shared" si="96"/>
        <v/>
      </c>
      <c r="AM148" s="282" t="s">
        <v>192</v>
      </c>
      <c r="AN148" s="282">
        <v>15</v>
      </c>
      <c r="AO148" s="282" t="str">
        <f t="shared" si="97"/>
        <v/>
      </c>
      <c r="AP148" s="282" t="str">
        <f>IF(AH148&lt;&gt;"oui","",IF(AND(AH148="oui",MAX($AO$132:$AO$153)=AO148),AM148,CONCATENATE(AM148,", ")))</f>
        <v/>
      </c>
      <c r="AQ148" s="282" t="str">
        <f t="shared" si="119"/>
        <v/>
      </c>
      <c r="AR148" s="282" t="str">
        <f>IF(AH148&lt;&gt;"oui","",IF(AND(AH148="oui",MAX($AQ$132:$AQ$153)=AQ148),AM148,CONCATENATE(AM148,", ")))</f>
        <v/>
      </c>
      <c r="AZ148" s="282" t="s">
        <v>147</v>
      </c>
    </row>
    <row r="149" spans="1:52" hidden="1" x14ac:dyDescent="0.25">
      <c r="A149" s="409"/>
      <c r="B149" s="409"/>
      <c r="C149" s="493" t="s">
        <v>9</v>
      </c>
      <c r="D149" s="492"/>
      <c r="E149" s="462">
        <f t="shared" si="98"/>
        <v>0</v>
      </c>
      <c r="F149" s="463">
        <f t="shared" si="98"/>
        <v>0</v>
      </c>
      <c r="G149" s="460">
        <f t="shared" si="98"/>
        <v>0</v>
      </c>
      <c r="H149" s="467">
        <f t="shared" si="121"/>
        <v>0</v>
      </c>
      <c r="I149" s="468">
        <f t="shared" si="122"/>
        <v>0</v>
      </c>
      <c r="J149" s="469">
        <f t="shared" si="123"/>
        <v>0</v>
      </c>
      <c r="K149" s="470"/>
      <c r="L149" s="467">
        <f t="shared" si="102"/>
        <v>0</v>
      </c>
      <c r="M149" s="468">
        <f t="shared" si="103"/>
        <v>0</v>
      </c>
      <c r="N149" s="469">
        <f t="shared" si="104"/>
        <v>0</v>
      </c>
      <c r="O149" s="470"/>
      <c r="P149" s="467">
        <f t="shared" si="120"/>
        <v>0</v>
      </c>
      <c r="Q149" s="468">
        <f t="shared" si="105"/>
        <v>0</v>
      </c>
      <c r="R149" s="469">
        <f t="shared" si="106"/>
        <v>0</v>
      </c>
      <c r="S149" s="476" t="str">
        <f t="shared" si="107"/>
        <v/>
      </c>
      <c r="T149" s="477" t="str">
        <f t="shared" si="108"/>
        <v/>
      </c>
      <c r="U149" s="478" t="str">
        <f t="shared" si="109"/>
        <v/>
      </c>
      <c r="V149" s="476" t="str">
        <f t="shared" si="110"/>
        <v/>
      </c>
      <c r="W149" s="477" t="str">
        <f t="shared" si="111"/>
        <v/>
      </c>
      <c r="X149" s="478" t="str">
        <f t="shared" si="112"/>
        <v/>
      </c>
      <c r="Y149" s="282"/>
      <c r="Z149" s="476" t="str">
        <f t="shared" si="113"/>
        <v/>
      </c>
      <c r="AA149" s="477" t="str">
        <f t="shared" si="114"/>
        <v/>
      </c>
      <c r="AB149" s="478" t="str">
        <f t="shared" si="115"/>
        <v/>
      </c>
      <c r="AC149" s="282"/>
      <c r="AD149" s="476" t="str">
        <f t="shared" si="116"/>
        <v/>
      </c>
      <c r="AE149" s="477" t="str">
        <f t="shared" si="117"/>
        <v/>
      </c>
      <c r="AF149" s="478" t="str">
        <f t="shared" si="118"/>
        <v/>
      </c>
      <c r="AG149" s="282"/>
      <c r="AH149" s="461" t="str">
        <f t="shared" si="93"/>
        <v/>
      </c>
      <c r="AI149" s="461"/>
      <c r="AJ149" s="461" t="str">
        <f t="shared" si="94"/>
        <v/>
      </c>
      <c r="AK149" s="461" t="str">
        <f t="shared" si="95"/>
        <v/>
      </c>
      <c r="AL149" s="461" t="str">
        <f t="shared" si="96"/>
        <v/>
      </c>
      <c r="AM149" s="282" t="s">
        <v>9</v>
      </c>
      <c r="AN149" s="282">
        <v>16</v>
      </c>
      <c r="AO149" s="282" t="str">
        <f t="shared" si="97"/>
        <v/>
      </c>
      <c r="AP149" s="282" t="str">
        <f>IF(AH149&lt;&gt;"oui","",IF(AND(AH149="oui",MAX($AO$132:$AO$153)=AO149),AM149,CONCATENATE(AM149,", ")))</f>
        <v/>
      </c>
      <c r="AQ149" s="282" t="str">
        <f t="shared" si="119"/>
        <v/>
      </c>
      <c r="AR149" s="282" t="str">
        <f>IF(AH149&lt;&gt;"oui","",IF(AND(AH149="oui",MAX($AQ$132:$AQ$153)=AQ149),AM149,CONCATENATE(AM149,", ")))</f>
        <v/>
      </c>
      <c r="AZ149" s="282" t="s">
        <v>153</v>
      </c>
    </row>
    <row r="150" spans="1:52" hidden="1" x14ac:dyDescent="0.25">
      <c r="A150" s="409"/>
      <c r="B150" s="409"/>
      <c r="C150" s="495" t="s">
        <v>51</v>
      </c>
      <c r="D150" s="492"/>
      <c r="E150" s="462">
        <f t="shared" si="98"/>
        <v>0</v>
      </c>
      <c r="F150" s="463">
        <f t="shared" si="98"/>
        <v>0</v>
      </c>
      <c r="G150" s="460">
        <f t="shared" si="98"/>
        <v>0</v>
      </c>
      <c r="H150" s="467">
        <f t="shared" si="121"/>
        <v>0</v>
      </c>
      <c r="I150" s="468">
        <f t="shared" si="122"/>
        <v>0</v>
      </c>
      <c r="J150" s="469">
        <f t="shared" si="123"/>
        <v>0</v>
      </c>
      <c r="K150" s="470"/>
      <c r="L150" s="467">
        <f t="shared" si="102"/>
        <v>0</v>
      </c>
      <c r="M150" s="468">
        <f t="shared" si="103"/>
        <v>0</v>
      </c>
      <c r="N150" s="469">
        <f t="shared" si="104"/>
        <v>0</v>
      </c>
      <c r="O150" s="470"/>
      <c r="P150" s="467">
        <f t="shared" si="120"/>
        <v>0</v>
      </c>
      <c r="Q150" s="468">
        <f t="shared" si="105"/>
        <v>0</v>
      </c>
      <c r="R150" s="469">
        <f t="shared" si="106"/>
        <v>0</v>
      </c>
      <c r="S150" s="476" t="str">
        <f t="shared" si="107"/>
        <v/>
      </c>
      <c r="T150" s="477" t="str">
        <f t="shared" si="108"/>
        <v/>
      </c>
      <c r="U150" s="478" t="str">
        <f t="shared" si="109"/>
        <v/>
      </c>
      <c r="V150" s="476" t="str">
        <f t="shared" si="110"/>
        <v/>
      </c>
      <c r="W150" s="477" t="str">
        <f t="shared" si="111"/>
        <v/>
      </c>
      <c r="X150" s="478" t="str">
        <f t="shared" si="112"/>
        <v/>
      </c>
      <c r="Y150" s="282"/>
      <c r="Z150" s="476" t="str">
        <f t="shared" si="113"/>
        <v/>
      </c>
      <c r="AA150" s="477" t="str">
        <f t="shared" si="114"/>
        <v/>
      </c>
      <c r="AB150" s="478" t="str">
        <f t="shared" si="115"/>
        <v/>
      </c>
      <c r="AC150" s="282"/>
      <c r="AD150" s="476" t="str">
        <f t="shared" si="116"/>
        <v/>
      </c>
      <c r="AE150" s="477" t="str">
        <f t="shared" si="117"/>
        <v/>
      </c>
      <c r="AF150" s="478" t="str">
        <f t="shared" si="118"/>
        <v/>
      </c>
      <c r="AG150" s="282"/>
      <c r="AH150" s="461" t="str">
        <f t="shared" si="93"/>
        <v/>
      </c>
      <c r="AI150" s="461"/>
      <c r="AJ150" s="461" t="str">
        <f t="shared" si="94"/>
        <v/>
      </c>
      <c r="AK150" s="461" t="str">
        <f t="shared" si="95"/>
        <v/>
      </c>
      <c r="AL150" s="461" t="str">
        <f t="shared" si="96"/>
        <v/>
      </c>
      <c r="AM150" s="282" t="s">
        <v>138</v>
      </c>
      <c r="AN150" s="282">
        <v>18</v>
      </c>
      <c r="AO150" s="282" t="str">
        <f t="shared" si="97"/>
        <v/>
      </c>
      <c r="AP150" s="282" t="str">
        <f>IF(AH150&lt;&gt;"oui","",IF(AND(AH150="oui",MAX($AO$132:$AO$153)=AO150),AM150,CONCATENATE(AM150,", ")))</f>
        <v/>
      </c>
      <c r="AQ150" s="282" t="str">
        <f t="shared" si="119"/>
        <v/>
      </c>
      <c r="AR150" s="282" t="str">
        <f>IF(AH150&lt;&gt;"oui","",IF(AND(AH150="oui",MAX($AQ$132:$AQ$153)=AQ150),AM150,CONCATENATE(AM150,", ")))</f>
        <v/>
      </c>
      <c r="AZ150" s="282" t="s">
        <v>138</v>
      </c>
    </row>
    <row r="151" spans="1:52" hidden="1" x14ac:dyDescent="0.25">
      <c r="A151" s="409"/>
      <c r="B151" s="409"/>
      <c r="C151" s="496" t="s">
        <v>81</v>
      </c>
      <c r="D151" s="492"/>
      <c r="E151" s="462">
        <f t="shared" si="98"/>
        <v>0</v>
      </c>
      <c r="F151" s="463">
        <f t="shared" si="98"/>
        <v>0</v>
      </c>
      <c r="G151" s="460">
        <f t="shared" si="98"/>
        <v>0</v>
      </c>
      <c r="H151" s="467">
        <f t="shared" si="121"/>
        <v>0</v>
      </c>
      <c r="I151" s="468">
        <f t="shared" si="122"/>
        <v>0</v>
      </c>
      <c r="J151" s="469">
        <f t="shared" si="123"/>
        <v>0</v>
      </c>
      <c r="K151" s="470"/>
      <c r="L151" s="467">
        <f t="shared" si="102"/>
        <v>0</v>
      </c>
      <c r="M151" s="468">
        <f t="shared" si="103"/>
        <v>0</v>
      </c>
      <c r="N151" s="469">
        <f t="shared" si="104"/>
        <v>0</v>
      </c>
      <c r="O151" s="470"/>
      <c r="P151" s="467">
        <f t="shared" si="120"/>
        <v>0</v>
      </c>
      <c r="Q151" s="468">
        <f t="shared" si="105"/>
        <v>0</v>
      </c>
      <c r="R151" s="469">
        <f t="shared" si="106"/>
        <v>0</v>
      </c>
      <c r="S151" s="476" t="str">
        <f t="shared" si="107"/>
        <v/>
      </c>
      <c r="T151" s="477" t="str">
        <f t="shared" si="108"/>
        <v/>
      </c>
      <c r="U151" s="478" t="str">
        <f t="shared" si="109"/>
        <v/>
      </c>
      <c r="V151" s="476" t="str">
        <f t="shared" si="110"/>
        <v/>
      </c>
      <c r="W151" s="477" t="str">
        <f t="shared" si="111"/>
        <v/>
      </c>
      <c r="X151" s="478" t="str">
        <f t="shared" si="112"/>
        <v/>
      </c>
      <c r="Y151" s="282"/>
      <c r="Z151" s="476" t="str">
        <f t="shared" si="113"/>
        <v/>
      </c>
      <c r="AA151" s="477" t="str">
        <f t="shared" si="114"/>
        <v/>
      </c>
      <c r="AB151" s="478" t="str">
        <f t="shared" si="115"/>
        <v/>
      </c>
      <c r="AC151" s="282"/>
      <c r="AD151" s="476" t="str">
        <f t="shared" si="116"/>
        <v/>
      </c>
      <c r="AE151" s="477" t="str">
        <f t="shared" si="117"/>
        <v/>
      </c>
      <c r="AF151" s="478" t="str">
        <f t="shared" si="118"/>
        <v/>
      </c>
      <c r="AG151" s="282"/>
      <c r="AH151" s="461" t="str">
        <f t="shared" si="93"/>
        <v/>
      </c>
      <c r="AI151" s="461"/>
      <c r="AJ151" s="461" t="str">
        <f t="shared" si="94"/>
        <v/>
      </c>
      <c r="AK151" s="461" t="str">
        <f t="shared" si="95"/>
        <v/>
      </c>
      <c r="AL151" s="461" t="str">
        <f t="shared" si="96"/>
        <v/>
      </c>
      <c r="AM151" s="282" t="s">
        <v>193</v>
      </c>
      <c r="AN151" s="282">
        <v>19</v>
      </c>
      <c r="AO151" s="282" t="str">
        <f t="shared" si="97"/>
        <v/>
      </c>
      <c r="AP151" s="282" t="str">
        <f>IF(AH151&lt;&gt;"oui","",IF(AND(AH151="oui",MAX($AO$132:$AO$153)=AO151),AM151,CONCATENATE(AM151,", ")))</f>
        <v/>
      </c>
      <c r="AQ151" s="282" t="str">
        <f t="shared" si="119"/>
        <v/>
      </c>
      <c r="AR151" s="282" t="str">
        <f>IF(AH151&lt;&gt;"oui","",IF(AND(AH151="oui",MAX($AQ$132:$AQ$153)=AQ151),AM151,CONCATENATE(AM151,", ")))</f>
        <v/>
      </c>
      <c r="AZ151" s="282" t="s">
        <v>139</v>
      </c>
    </row>
    <row r="152" spans="1:52" hidden="1" x14ac:dyDescent="0.25">
      <c r="A152" s="409"/>
      <c r="B152" s="409"/>
      <c r="C152" s="496" t="s">
        <v>109</v>
      </c>
      <c r="D152" s="492"/>
      <c r="E152" s="462">
        <f t="shared" si="98"/>
        <v>0</v>
      </c>
      <c r="F152" s="463">
        <f t="shared" si="98"/>
        <v>0</v>
      </c>
      <c r="G152" s="460">
        <f t="shared" si="98"/>
        <v>0</v>
      </c>
      <c r="H152" s="467">
        <f t="shared" si="121"/>
        <v>0</v>
      </c>
      <c r="I152" s="468">
        <f t="shared" si="122"/>
        <v>0</v>
      </c>
      <c r="J152" s="469">
        <f t="shared" si="123"/>
        <v>0</v>
      </c>
      <c r="K152" s="470"/>
      <c r="L152" s="467">
        <f t="shared" si="102"/>
        <v>0</v>
      </c>
      <c r="M152" s="468">
        <f t="shared" si="103"/>
        <v>0</v>
      </c>
      <c r="N152" s="469">
        <f t="shared" si="104"/>
        <v>0</v>
      </c>
      <c r="O152" s="470"/>
      <c r="P152" s="467">
        <f t="shared" si="120"/>
        <v>0</v>
      </c>
      <c r="Q152" s="468">
        <f t="shared" si="105"/>
        <v>0</v>
      </c>
      <c r="R152" s="469">
        <f t="shared" si="106"/>
        <v>0</v>
      </c>
      <c r="S152" s="476" t="str">
        <f t="shared" si="107"/>
        <v/>
      </c>
      <c r="T152" s="477" t="str">
        <f t="shared" si="108"/>
        <v/>
      </c>
      <c r="U152" s="478" t="str">
        <f t="shared" si="109"/>
        <v/>
      </c>
      <c r="V152" s="476" t="str">
        <f t="shared" si="110"/>
        <v/>
      </c>
      <c r="W152" s="477" t="str">
        <f t="shared" si="111"/>
        <v/>
      </c>
      <c r="X152" s="478" t="str">
        <f t="shared" si="112"/>
        <v/>
      </c>
      <c r="Y152" s="282"/>
      <c r="Z152" s="476" t="str">
        <f t="shared" si="113"/>
        <v/>
      </c>
      <c r="AA152" s="477" t="str">
        <f t="shared" si="114"/>
        <v/>
      </c>
      <c r="AB152" s="478" t="str">
        <f t="shared" si="115"/>
        <v/>
      </c>
      <c r="AC152" s="282"/>
      <c r="AD152" s="476" t="str">
        <f t="shared" si="116"/>
        <v/>
      </c>
      <c r="AE152" s="477" t="str">
        <f t="shared" si="117"/>
        <v/>
      </c>
      <c r="AF152" s="478" t="str">
        <f t="shared" si="118"/>
        <v/>
      </c>
      <c r="AG152" s="282"/>
      <c r="AH152" s="461" t="str">
        <f t="shared" si="93"/>
        <v/>
      </c>
      <c r="AI152" s="461"/>
      <c r="AJ152" s="461" t="str">
        <f t="shared" si="94"/>
        <v/>
      </c>
      <c r="AK152" s="461" t="str">
        <f t="shared" si="95"/>
        <v/>
      </c>
      <c r="AL152" s="461" t="str">
        <f t="shared" si="96"/>
        <v/>
      </c>
      <c r="AM152" s="282" t="s">
        <v>140</v>
      </c>
      <c r="AN152" s="282">
        <v>20</v>
      </c>
      <c r="AO152" s="282" t="str">
        <f t="shared" si="97"/>
        <v/>
      </c>
      <c r="AP152" s="282" t="str">
        <f>IF(AH152&lt;&gt;"oui","",IF(AND(AH152="oui",MAX($AO$132:$AO$153)=AO152),AM152,CONCATENATE(AM152,", ")))</f>
        <v/>
      </c>
      <c r="AQ152" s="282" t="str">
        <f t="shared" si="119"/>
        <v/>
      </c>
      <c r="AR152" s="282" t="str">
        <f>IF(AH152&lt;&gt;"oui","",IF(AND(AH152="oui",MAX($AQ$132:$AQ$153)=AQ152),AM152,CONCATENATE(AM152,", ")))</f>
        <v/>
      </c>
      <c r="AZ152" s="282" t="s">
        <v>140</v>
      </c>
    </row>
    <row r="153" spans="1:52" hidden="1" x14ac:dyDescent="0.25">
      <c r="A153" s="409"/>
      <c r="B153" s="409"/>
      <c r="C153" s="496" t="s">
        <v>45</v>
      </c>
      <c r="D153" s="492"/>
      <c r="E153" s="482">
        <f>SUM(E140:E142,E145:E147)</f>
        <v>0</v>
      </c>
      <c r="F153" s="483">
        <f t="shared" ref="F153:J153" si="124">SUM(F140:F142,F145:F147)</f>
        <v>0</v>
      </c>
      <c r="G153" s="484">
        <f t="shared" si="124"/>
        <v>0</v>
      </c>
      <c r="H153" s="485">
        <f t="shared" si="124"/>
        <v>0</v>
      </c>
      <c r="I153" s="486">
        <f t="shared" si="124"/>
        <v>0</v>
      </c>
      <c r="J153" s="487">
        <f t="shared" si="124"/>
        <v>0</v>
      </c>
      <c r="K153" s="470"/>
      <c r="L153" s="485">
        <f t="shared" ref="L153:N153" si="125">SUM(L140:L142,L145:L147)</f>
        <v>0</v>
      </c>
      <c r="M153" s="486">
        <f t="shared" si="125"/>
        <v>0</v>
      </c>
      <c r="N153" s="487">
        <f t="shared" si="125"/>
        <v>0</v>
      </c>
      <c r="O153" s="470"/>
      <c r="P153" s="485">
        <f t="shared" ref="P153:R153" si="126">SUM(P140:P142,P145:P147)</f>
        <v>0</v>
      </c>
      <c r="Q153" s="486">
        <f t="shared" si="126"/>
        <v>0</v>
      </c>
      <c r="R153" s="487">
        <f t="shared" si="126"/>
        <v>0</v>
      </c>
      <c r="S153" s="488" t="str">
        <f>IF(S$128="","",SUM(S140:S142,S145:S147))</f>
        <v/>
      </c>
      <c r="T153" s="489" t="str">
        <f>IF(T$128="","",SUM(T140:T142,T145:T147))</f>
        <v/>
      </c>
      <c r="U153" s="490" t="str">
        <f>IF(U$128="","",SUM(U140:U142,U145:U147))</f>
        <v/>
      </c>
      <c r="V153" s="488" t="str">
        <f t="shared" ref="V153:W153" si="127">IF(V$128="","",SUM(V140:V142,V145:V147))</f>
        <v/>
      </c>
      <c r="W153" s="489" t="str">
        <f t="shared" si="127"/>
        <v/>
      </c>
      <c r="X153" s="490" t="str">
        <f>IF(X$128="","",SUM(X140:X142,X145:X147))</f>
        <v/>
      </c>
      <c r="Y153" s="282"/>
      <c r="Z153" s="488" t="str">
        <f>IF(Z$128="","",SUM(Z140:Z142,Z145:Z147))</f>
        <v/>
      </c>
      <c r="AA153" s="489" t="str">
        <f>IF(AA$128="","",SUM(AA140:AA142,AA145:AA147))</f>
        <v/>
      </c>
      <c r="AB153" s="490" t="str">
        <f>IF(AB$128="","",SUM(AB140:AB142,AB145:AB147))</f>
        <v/>
      </c>
      <c r="AC153" s="282"/>
      <c r="AD153" s="488" t="str">
        <f>IF(AD$128="","",SUM(AD140:AD142,AD145:AD147))</f>
        <v/>
      </c>
      <c r="AE153" s="489" t="str">
        <f>IF(AE$128="","",SUM(AE140:AE142,AE145:AE147))</f>
        <v/>
      </c>
      <c r="AF153" s="490" t="str">
        <f>IF(AF$128="","",SUM(AF140:AF142,AF145:AF147))</f>
        <v/>
      </c>
      <c r="AG153" s="282"/>
      <c r="AH153" s="497" t="str">
        <f t="shared" si="93"/>
        <v/>
      </c>
      <c r="AI153" s="497"/>
      <c r="AJ153" s="497" t="str">
        <f t="shared" si="94"/>
        <v/>
      </c>
      <c r="AK153" s="497" t="str">
        <f t="shared" si="95"/>
        <v/>
      </c>
      <c r="AL153" s="497" t="str">
        <f t="shared" si="96"/>
        <v/>
      </c>
      <c r="AM153" s="282" t="s">
        <v>194</v>
      </c>
      <c r="AN153" s="282"/>
      <c r="AO153" s="282"/>
      <c r="AP153" s="282" t="str">
        <f>IF(AH153&lt;&gt;"oui","",AM153)</f>
        <v/>
      </c>
      <c r="AQ153" s="282"/>
      <c r="AR153" s="282" t="str">
        <f>IF(AH153&lt;&gt;"oui","",AM153)</f>
        <v/>
      </c>
      <c r="AZ153" s="282" t="s">
        <v>148</v>
      </c>
    </row>
    <row r="154" spans="1:52" hidden="1" x14ac:dyDescent="0.25">
      <c r="A154" s="409"/>
      <c r="B154" s="409"/>
      <c r="C154" s="492"/>
      <c r="D154" s="492"/>
      <c r="E154" s="456"/>
      <c r="F154" s="456"/>
      <c r="G154" s="456"/>
      <c r="H154" s="456"/>
      <c r="I154" s="456"/>
      <c r="J154" s="456"/>
      <c r="K154" s="456"/>
      <c r="L154" s="440"/>
      <c r="M154" s="440"/>
      <c r="N154" s="440"/>
      <c r="O154" s="440"/>
      <c r="P154" s="440"/>
      <c r="Q154" s="440"/>
      <c r="R154" s="440"/>
      <c r="S154" s="440"/>
      <c r="T154" s="440"/>
      <c r="U154" s="440"/>
      <c r="V154" s="440"/>
      <c r="W154" s="440"/>
      <c r="X154" s="438"/>
      <c r="Y154" s="441"/>
      <c r="Z154" s="441"/>
      <c r="AA154" s="441"/>
      <c r="AB154" s="439"/>
      <c r="AC154" s="282"/>
      <c r="AD154" s="441"/>
      <c r="AE154" s="441"/>
      <c r="AF154" s="441"/>
      <c r="AG154" s="282"/>
      <c r="AH154" s="282"/>
      <c r="AI154" s="282"/>
      <c r="AJ154" s="282"/>
      <c r="AK154" s="282"/>
      <c r="AL154" s="282"/>
      <c r="AM154" s="282"/>
      <c r="AN154" s="282"/>
      <c r="AO154" s="282"/>
      <c r="AP154" s="282"/>
      <c r="AQ154" s="282"/>
      <c r="AR154" s="282"/>
    </row>
    <row r="155" spans="1:52" hidden="1" x14ac:dyDescent="0.25">
      <c r="A155" s="409"/>
      <c r="B155" s="409"/>
      <c r="C155" s="498"/>
      <c r="D155" s="498"/>
      <c r="E155" s="499" t="str">
        <f t="shared" ref="E155:J155" si="128">E128</f>
        <v/>
      </c>
      <c r="F155" s="499" t="str">
        <f t="shared" si="128"/>
        <v/>
      </c>
      <c r="G155" s="499" t="str">
        <f t="shared" si="128"/>
        <v/>
      </c>
      <c r="H155" s="499" t="str">
        <f t="shared" si="128"/>
        <v/>
      </c>
      <c r="I155" s="499" t="str">
        <f t="shared" si="128"/>
        <v/>
      </c>
      <c r="J155" s="499" t="str">
        <f t="shared" si="128"/>
        <v/>
      </c>
      <c r="K155" s="499"/>
      <c r="L155" s="500" t="str">
        <f>L128</f>
        <v/>
      </c>
      <c r="M155" s="500" t="str">
        <f>M128</f>
        <v/>
      </c>
      <c r="N155" s="500" t="str">
        <f>N128</f>
        <v/>
      </c>
      <c r="O155" s="500"/>
      <c r="P155" s="500" t="str">
        <f>P128</f>
        <v/>
      </c>
      <c r="Q155" s="500" t="str">
        <f>Q128</f>
        <v/>
      </c>
      <c r="R155" s="500" t="str">
        <f>R128</f>
        <v/>
      </c>
      <c r="S155" s="440"/>
      <c r="T155" s="440"/>
      <c r="U155" s="440"/>
      <c r="V155" s="440"/>
      <c r="W155" s="440"/>
      <c r="X155" s="438"/>
      <c r="Y155" s="441"/>
      <c r="Z155" s="441"/>
      <c r="AA155" s="441"/>
      <c r="AB155" s="439"/>
      <c r="AC155" s="441"/>
      <c r="AD155" s="441"/>
      <c r="AE155" s="282"/>
      <c r="AF155" s="441"/>
      <c r="AG155" s="282"/>
      <c r="AH155" s="282"/>
      <c r="AI155" s="282"/>
      <c r="AJ155" s="282"/>
      <c r="AK155" s="282"/>
      <c r="AL155" s="282"/>
      <c r="AM155" s="282"/>
      <c r="AN155" s="282"/>
      <c r="AO155" s="282"/>
      <c r="AP155" s="282"/>
      <c r="AQ155" s="282"/>
      <c r="AR155" s="282"/>
    </row>
    <row r="156" spans="1:52" hidden="1" x14ac:dyDescent="0.25">
      <c r="A156" s="409"/>
      <c r="B156" s="409" t="s">
        <v>126</v>
      </c>
      <c r="C156" s="282" t="s">
        <v>82</v>
      </c>
      <c r="D156" s="282"/>
      <c r="E156" s="456">
        <f>IF($U$25&lt;&gt;"ok",0,SUM(E132:E144)-E134)</f>
        <v>0</v>
      </c>
      <c r="F156" s="456">
        <f>IF($U$25&lt;&gt;"ok",0,SUM(F132:F144)-F134)</f>
        <v>0</v>
      </c>
      <c r="G156" s="456">
        <f>IF($U$25&lt;&gt;"ok",0,SUM(G132:G144)-G134)</f>
        <v>0</v>
      </c>
      <c r="H156" s="470">
        <f>IF(OR(E156="",$J$21="",$J$21=0),0,E156/$J$21)</f>
        <v>0</v>
      </c>
      <c r="I156" s="470">
        <f>IF(OR(F156="",$N$21="",$N$21=0),0,F156/$N$21)</f>
        <v>0</v>
      </c>
      <c r="J156" s="470">
        <f>IF(OR(G156="",$R$21="",$R$21=0),0,G156/$R$21)</f>
        <v>0</v>
      </c>
      <c r="K156" s="456"/>
      <c r="L156" s="470">
        <f>IF(OR(E156="",$J$22="",$J$22=0),0,E156/$J$22)</f>
        <v>0</v>
      </c>
      <c r="M156" s="470">
        <f>IF(OR(F156="",$N$22="",$N$22=0),0,F156/$N$22)</f>
        <v>0</v>
      </c>
      <c r="N156" s="470">
        <f>IF(OR(G156="",$R$22="",$R$22=0),0,G156/$R$22)</f>
        <v>0</v>
      </c>
      <c r="O156" s="456"/>
      <c r="P156" s="470">
        <f>IF(OR(E156="",$J$23="",$J$23=0),0,E156/$J$23)</f>
        <v>0</v>
      </c>
      <c r="Q156" s="470">
        <f>IF(OR(F156="",$N$23="",$N$23=0),0,F156/$N$23)</f>
        <v>0</v>
      </c>
      <c r="R156" s="470">
        <f>IF(OR(G156="",$R$23="",$R$23=0),0,G156/$R$23)</f>
        <v>0</v>
      </c>
      <c r="S156" s="440" t="str">
        <f t="shared" ref="S156:X156" si="129">IF(S$128="","",IF(COUNTBLANK(S132:S144)=13,"",E156))</f>
        <v/>
      </c>
      <c r="T156" s="456" t="str">
        <f t="shared" si="129"/>
        <v/>
      </c>
      <c r="U156" s="456" t="str">
        <f t="shared" si="129"/>
        <v/>
      </c>
      <c r="V156" s="440" t="str">
        <f t="shared" si="129"/>
        <v/>
      </c>
      <c r="W156" s="440" t="str">
        <f t="shared" si="129"/>
        <v/>
      </c>
      <c r="X156" s="440" t="str">
        <f t="shared" si="129"/>
        <v/>
      </c>
      <c r="Y156" s="441"/>
      <c r="Z156" s="456" t="str">
        <f>IF(Z$128="","",IF(COUNTBLANK(Z132:Z144)=13,"",L156))</f>
        <v/>
      </c>
      <c r="AA156" s="456" t="str">
        <f>IF(AA$128="","",IF(COUNTBLANK(AA132:AA144)=13,"",M156))</f>
        <v/>
      </c>
      <c r="AB156" s="463" t="str">
        <f>IF(AB$128="","",IF(COUNTBLANK(AB132:AB144)=13,"",N156))</f>
        <v/>
      </c>
      <c r="AC156" s="441"/>
      <c r="AD156" s="456" t="str">
        <f>IF(AD$128="","",IF(COUNTBLANK(AD132:AD144)=13,"",P156))</f>
        <v/>
      </c>
      <c r="AE156" s="456" t="str">
        <f>IF(AE$128="","",IF(COUNTBLANK(AE132:AE144)=13,"",Q156))</f>
        <v/>
      </c>
      <c r="AF156" s="456" t="str">
        <f>IF(AF$128="","",IF(COUNTBLANK(AF132:AF144)=13,"",R156))</f>
        <v/>
      </c>
      <c r="AG156" s="282"/>
      <c r="AH156" s="282"/>
      <c r="AI156" s="282"/>
      <c r="AJ156" s="282"/>
      <c r="AK156" s="282"/>
      <c r="AL156" s="282"/>
      <c r="AM156" s="282"/>
      <c r="AN156" s="282"/>
      <c r="AO156" s="282"/>
      <c r="AP156" s="282"/>
      <c r="AQ156" s="282"/>
      <c r="AR156" s="282"/>
    </row>
    <row r="157" spans="1:52" hidden="1" x14ac:dyDescent="0.25">
      <c r="A157" s="409"/>
      <c r="B157" s="409" t="s">
        <v>127</v>
      </c>
      <c r="C157" s="282" t="s">
        <v>83</v>
      </c>
      <c r="D157" s="282"/>
      <c r="E157" s="456">
        <f>IF($U$25&lt;&gt;"ok",0,E156-J70)</f>
        <v>0</v>
      </c>
      <c r="F157" s="456">
        <f>IF($U$25&lt;&gt;"ok",0,+F156-N70)</f>
        <v>0</v>
      </c>
      <c r="G157" s="456">
        <f>IF($U$25&lt;&gt;"ok",0,G156-R70)</f>
        <v>0</v>
      </c>
      <c r="H157" s="470">
        <f>IF(OR(E157="",$J$21="",$J$21=0),0,E157/$J$21)</f>
        <v>0</v>
      </c>
      <c r="I157" s="470">
        <f>IF(OR(F157="",$N$21="",$N$21=0),0,F157/$N$21)</f>
        <v>0</v>
      </c>
      <c r="J157" s="470">
        <f>IF(OR(G157="",$R$21="",$R$21=0),0,G157/$R$21)</f>
        <v>0</v>
      </c>
      <c r="K157" s="456"/>
      <c r="L157" s="470">
        <f>IF(OR(E157="",$J$22="",$J$22=0),0,E157/$J$22)</f>
        <v>0</v>
      </c>
      <c r="M157" s="470">
        <f t="shared" ref="M157" si="130">IF(OR(F157="",$N$22="",$N$22=0),0,F157/$N$22)</f>
        <v>0</v>
      </c>
      <c r="N157" s="470">
        <f t="shared" ref="N157" si="131">IF(OR(G157="",$R$22="",$R$22=0),0,G157/$R$22)</f>
        <v>0</v>
      </c>
      <c r="O157" s="456"/>
      <c r="P157" s="470">
        <f t="shared" ref="P157" si="132">IF(OR(E157="",$J$23="",$J$23=0),0,E157/$J$23)</f>
        <v>0</v>
      </c>
      <c r="Q157" s="470">
        <f t="shared" ref="Q157" si="133">IF(OR(F157="",$N$23="",$N$23=0),0,F157/$N$23)</f>
        <v>0</v>
      </c>
      <c r="R157" s="470">
        <f t="shared" ref="R157" si="134">IF(OR(G157="",$R$23="",$R$23=0),0,G157/$R$23)</f>
        <v>0</v>
      </c>
      <c r="S157" s="456" t="str">
        <f>IF(S$128="","",IF(COUNTBLANK(S132:S144)=13,"",E157))</f>
        <v/>
      </c>
      <c r="T157" s="456" t="str">
        <f>IF(T$128="","",IF(COUNTBLANK(T132:T144)=11,"",F157))</f>
        <v/>
      </c>
      <c r="U157" s="456" t="str">
        <f>IF(U$128="","",IF(COUNTBLANK(U132:U144)=11,"",G157))</f>
        <v/>
      </c>
      <c r="V157" s="440" t="str">
        <f>IF(V$128="","",IF(COUNTBLANK(V132:V144)=13,"",H157))</f>
        <v/>
      </c>
      <c r="W157" s="440" t="str">
        <f>IF(W$128="","",IF(COUNTBLANK(W132:W144)=13,"",I157))</f>
        <v/>
      </c>
      <c r="X157" s="440" t="str">
        <f>IF(X$128="","",IF(COUNTBLANK(X132:X144)=13,"",J157))</f>
        <v/>
      </c>
      <c r="Y157" s="441"/>
      <c r="Z157" s="456" t="str">
        <f>IF(Z$128="","",IF(COUNTBLANK(Z132:Z144)=13,"",L157))</f>
        <v/>
      </c>
      <c r="AA157" s="456" t="str">
        <f>IF(AA$128="","",IF(COUNTBLANK(AA132:AA144)=13,"",M157))</f>
        <v/>
      </c>
      <c r="AB157" s="463" t="str">
        <f>IF(AB$128="","",IF(COUNTBLANK(AB132:AB144)=13,"",N157))</f>
        <v/>
      </c>
      <c r="AC157" s="441"/>
      <c r="AD157" s="456" t="str">
        <f>IF(AD$128="","",IF(COUNTBLANK(AD132:AD144)=13,"",P157))</f>
        <v/>
      </c>
      <c r="AE157" s="456" t="str">
        <f>IF(AE$128="","",IF(COUNTBLANK(AE132:AE144)=13,"",Q157))</f>
        <v/>
      </c>
      <c r="AF157" s="456" t="str">
        <f>IF(AF$128="","",IF(COUNTBLANK(AF132:AF144)=13,"",R157))</f>
        <v/>
      </c>
      <c r="AG157" s="282"/>
      <c r="AH157" s="282"/>
      <c r="AI157" s="282"/>
      <c r="AJ157" s="282"/>
      <c r="AK157" s="282"/>
      <c r="AL157" s="282"/>
      <c r="AM157" s="282"/>
      <c r="AN157" s="282"/>
      <c r="AO157" s="282"/>
      <c r="AP157" s="282"/>
      <c r="AQ157" s="282"/>
      <c r="AR157" s="282"/>
    </row>
    <row r="158" spans="1:52" hidden="1" x14ac:dyDescent="0.25">
      <c r="A158" s="409"/>
      <c r="B158" s="409"/>
      <c r="C158" s="282" t="s">
        <v>58</v>
      </c>
      <c r="D158" s="282"/>
      <c r="E158" s="456"/>
      <c r="F158" s="456"/>
      <c r="G158" s="456"/>
      <c r="H158" s="470" t="str">
        <f>IF(H129="","",H129*H130-E157)</f>
        <v/>
      </c>
      <c r="I158" s="470" t="str">
        <f>IF(I129="","",I129*I130-F157)</f>
        <v/>
      </c>
      <c r="J158" s="470" t="str">
        <f>IF(J129="","",J129*J130-G157)</f>
        <v/>
      </c>
      <c r="K158" s="470"/>
      <c r="L158" s="470" t="str">
        <f>IF(L129="","",L129*L130-E157)</f>
        <v/>
      </c>
      <c r="M158" s="470" t="str">
        <f>IF(M129="","",M129*M130-F157)</f>
        <v/>
      </c>
      <c r="N158" s="470" t="str">
        <f>IF(N129="","",N129*N130-G157)</f>
        <v/>
      </c>
      <c r="O158" s="470"/>
      <c r="P158" s="470" t="str">
        <f>IF(P129="","",P129*P130-E157)</f>
        <v/>
      </c>
      <c r="Q158" s="470" t="str">
        <f>IF(Q129="","",Q129*Q130-F157)</f>
        <v/>
      </c>
      <c r="R158" s="470" t="str">
        <f>IF(R129="","",R129*R130-G157)</f>
        <v/>
      </c>
      <c r="S158" s="282"/>
      <c r="T158" s="440"/>
      <c r="U158" s="440"/>
      <c r="V158" s="440" t="str">
        <f>IF(V128="","",H158)</f>
        <v/>
      </c>
      <c r="W158" s="440" t="str">
        <f>IF(W128="","",I158)</f>
        <v/>
      </c>
      <c r="X158" s="440" t="str">
        <f>IF(X128="","",J158)</f>
        <v/>
      </c>
      <c r="Y158" s="441"/>
      <c r="Z158" s="456" t="str">
        <f>IF(Z128="","",L158)</f>
        <v/>
      </c>
      <c r="AA158" s="456" t="str">
        <f t="shared" ref="AA158" si="135">IF(AA128="","",M158)</f>
        <v/>
      </c>
      <c r="AB158" s="463" t="str">
        <f>IF(AB128="","",N158)</f>
        <v/>
      </c>
      <c r="AC158" s="441"/>
      <c r="AD158" s="456" t="str">
        <f>IF(AD128="","",P158)</f>
        <v/>
      </c>
      <c r="AE158" s="456" t="str">
        <f>IF(AE128="","",Q158)</f>
        <v/>
      </c>
      <c r="AF158" s="456" t="str">
        <f>IF(AF128="","",R158)</f>
        <v/>
      </c>
      <c r="AG158" s="282"/>
      <c r="AH158" s="282"/>
      <c r="AI158" s="282"/>
      <c r="AJ158" s="282"/>
      <c r="AK158" s="282"/>
      <c r="AL158" s="282"/>
      <c r="AM158" s="282"/>
      <c r="AN158" s="282"/>
      <c r="AO158" s="282"/>
      <c r="AP158" s="282"/>
      <c r="AQ158" s="282"/>
      <c r="AR158" s="282"/>
    </row>
    <row r="159" spans="1:52" hidden="1" x14ac:dyDescent="0.25">
      <c r="A159" s="409"/>
      <c r="B159" s="409"/>
      <c r="C159" s="282" t="s">
        <v>172</v>
      </c>
      <c r="D159" s="282"/>
      <c r="E159" s="470"/>
      <c r="F159" s="501">
        <f>IF(OR(E156="",F156=""),"",F156-E156)</f>
        <v>0</v>
      </c>
      <c r="G159" s="501">
        <f>IF(OR(E156="",G156=""),"",G156-E156)</f>
        <v>0</v>
      </c>
      <c r="H159" s="470"/>
      <c r="I159" s="501">
        <f>IF(OR(H156="",I156=""),"",I156-H156)</f>
        <v>0</v>
      </c>
      <c r="J159" s="501">
        <f>IF(OR(H156="",J156=""),"",J156-H156)</f>
        <v>0</v>
      </c>
      <c r="K159" s="470">
        <f t="shared" ref="K159" si="136">K156-J156</f>
        <v>0</v>
      </c>
      <c r="L159" s="470"/>
      <c r="M159" s="501">
        <f>IF(OR(L156="",M156=""),"",M156-L156)</f>
        <v>0</v>
      </c>
      <c r="N159" s="501">
        <f>IF(OR(L156="",N156=""),"",N156-L156)</f>
        <v>0</v>
      </c>
      <c r="O159" s="470">
        <f>O156-N156</f>
        <v>0</v>
      </c>
      <c r="P159" s="470"/>
      <c r="Q159" s="501">
        <f>IF(OR(P156="",Q156=""),"",Q156-P156)</f>
        <v>0</v>
      </c>
      <c r="R159" s="501">
        <f>IF(OR(P156="",R156=""),"",R156-P156)</f>
        <v>0</v>
      </c>
      <c r="S159" s="282"/>
      <c r="T159" s="440"/>
      <c r="U159" s="440"/>
      <c r="V159" s="440"/>
      <c r="W159" s="440" t="str">
        <f>IF(W128="","",I159)</f>
        <v/>
      </c>
      <c r="X159" s="440" t="str">
        <f>IF(X128="","",J159)</f>
        <v/>
      </c>
      <c r="Y159" s="441"/>
      <c r="Z159" s="456"/>
      <c r="AA159" s="440" t="str">
        <f>IF(AA128="","",M159)</f>
        <v/>
      </c>
      <c r="AB159" s="502" t="str">
        <f>IF(AB128="","",N159)</f>
        <v/>
      </c>
      <c r="AC159" s="441"/>
      <c r="AD159" s="456"/>
      <c r="AE159" s="440" t="str">
        <f>IF(AE128="","",Q159)</f>
        <v/>
      </c>
      <c r="AF159" s="440" t="str">
        <f>IF(AF128="","",R159)</f>
        <v/>
      </c>
      <c r="AG159" s="282"/>
      <c r="AH159" s="282"/>
      <c r="AI159" s="282"/>
      <c r="AJ159" s="282"/>
      <c r="AK159" s="282"/>
      <c r="AL159" s="282"/>
      <c r="AM159" s="282"/>
      <c r="AN159" s="282"/>
      <c r="AO159" s="282"/>
      <c r="AP159" s="282"/>
      <c r="AQ159" s="282"/>
      <c r="AR159" s="282"/>
    </row>
    <row r="160" spans="1:52" hidden="1" x14ac:dyDescent="0.25">
      <c r="A160" s="409"/>
      <c r="B160" s="409"/>
      <c r="C160" s="282" t="s">
        <v>170</v>
      </c>
      <c r="D160" s="282"/>
      <c r="E160" s="470"/>
      <c r="F160" s="501"/>
      <c r="G160" s="501">
        <f>IF(OR(F156="",G156=""),"",G156-F156)</f>
        <v>0</v>
      </c>
      <c r="H160" s="470"/>
      <c r="I160" s="501"/>
      <c r="J160" s="501">
        <f>IF(OR(I156="",J156=""),"",J156-I156)</f>
        <v>0</v>
      </c>
      <c r="K160" s="470"/>
      <c r="L160" s="470"/>
      <c r="M160" s="501"/>
      <c r="N160" s="501">
        <f>IF(OR(M156="",N156=""),"",N156-M156)</f>
        <v>0</v>
      </c>
      <c r="O160" s="470"/>
      <c r="P160" s="470"/>
      <c r="Q160" s="501"/>
      <c r="R160" s="501">
        <f>IF(OR(Q156="",R156=""),"",R156-Q156)</f>
        <v>0</v>
      </c>
      <c r="S160" s="282"/>
      <c r="T160" s="440"/>
      <c r="U160" s="440"/>
      <c r="V160" s="440"/>
      <c r="W160" s="440"/>
      <c r="X160" s="440" t="str">
        <f>IF(X128="","",J160)</f>
        <v/>
      </c>
      <c r="Y160" s="441"/>
      <c r="Z160" s="456"/>
      <c r="AA160" s="440"/>
      <c r="AB160" s="502" t="str">
        <f>IF(AB128="","",N160)</f>
        <v/>
      </c>
      <c r="AC160" s="441"/>
      <c r="AD160" s="456"/>
      <c r="AE160" s="440"/>
      <c r="AF160" s="440" t="str">
        <f>IF(AF128="","",R160)</f>
        <v/>
      </c>
      <c r="AG160" s="282"/>
      <c r="AH160" s="282"/>
      <c r="AI160" s="282"/>
      <c r="AJ160" s="282"/>
      <c r="AK160" s="282"/>
      <c r="AL160" s="282"/>
      <c r="AM160" s="282"/>
      <c r="AN160" s="282"/>
      <c r="AO160" s="282"/>
      <c r="AP160" s="282"/>
      <c r="AQ160" s="282"/>
      <c r="AR160" s="282"/>
    </row>
    <row r="161" spans="1:57" hidden="1" x14ac:dyDescent="0.25">
      <c r="A161" s="409"/>
      <c r="B161" s="409"/>
      <c r="C161" s="282" t="s">
        <v>171</v>
      </c>
      <c r="D161" s="282"/>
      <c r="E161" s="456"/>
      <c r="F161" s="503" t="str">
        <f>IF(OR(E156="",F156=""),"",IF(ISERROR((F156-E156)/E156),"",(F156-E156)/E156))</f>
        <v/>
      </c>
      <c r="G161" s="503" t="str">
        <f>IF(OR(E156="",G156=""),"",IF(ISERROR((G156-E156)/E156),"",(G156-E156)/E156))</f>
        <v/>
      </c>
      <c r="H161" s="470"/>
      <c r="I161" s="503" t="str">
        <f>IF(OR(H156="",I156=""),"",IF(ISERROR((I156-H156)/H156),"",(I156-H156)/H156))</f>
        <v/>
      </c>
      <c r="J161" s="503" t="str">
        <f>IF(OR(H156="",J156=""),"",IF(ISERROR((J156-H156)/H156),"",(J156-H156)/H156))</f>
        <v/>
      </c>
      <c r="K161" s="470"/>
      <c r="L161" s="470"/>
      <c r="M161" s="503" t="str">
        <f>IF(OR(L156="",M156=""),"",IF(ISERROR((M156-L156)/L156),"",(M156-L156)/L156))</f>
        <v/>
      </c>
      <c r="N161" s="503" t="str">
        <f>IF(OR(L156="",N156=""),"",IF(ISERROR((N156-L156)/L156),"",(N156-L156)/L156))</f>
        <v/>
      </c>
      <c r="O161" s="470"/>
      <c r="P161" s="470"/>
      <c r="Q161" s="503" t="str">
        <f>IF(OR(P156="",Q156=""),"",IF(ISERROR((Q156-P156)/P156),"",(Q156-P156)/P156))</f>
        <v/>
      </c>
      <c r="R161" s="503" t="str">
        <f>IF(OR(P156="",R156=""),"",IF(ISERROR((R156-P156)/P156),"",(R156-P156)/P156))</f>
        <v/>
      </c>
      <c r="S161" s="282"/>
      <c r="T161" s="440"/>
      <c r="U161" s="440"/>
      <c r="V161" s="440"/>
      <c r="W161" s="504" t="str">
        <f>IF(W128="","",I161)</f>
        <v/>
      </c>
      <c r="X161" s="504" t="str">
        <f>IF(X128="","",J161)</f>
        <v/>
      </c>
      <c r="Y161" s="441"/>
      <c r="Z161" s="456"/>
      <c r="AA161" s="504" t="str">
        <f>IF(AA128="","",M161)</f>
        <v/>
      </c>
      <c r="AB161" s="505" t="str">
        <f>IF(AB128="","",N161)</f>
        <v/>
      </c>
      <c r="AC161" s="441"/>
      <c r="AD161" s="456"/>
      <c r="AE161" s="504" t="str">
        <f>IF(AE128="","",Q161)</f>
        <v/>
      </c>
      <c r="AF161" s="504" t="str">
        <f>IF(AF128="","",R161)</f>
        <v/>
      </c>
      <c r="AG161" s="282"/>
      <c r="AH161" s="282"/>
      <c r="AI161" s="282"/>
      <c r="AJ161" s="282"/>
      <c r="AK161" s="282"/>
      <c r="AL161" s="282"/>
      <c r="AM161" s="282"/>
      <c r="AN161" s="282"/>
      <c r="AO161" s="282"/>
      <c r="AP161" s="282"/>
      <c r="AQ161" s="282"/>
      <c r="AR161" s="282"/>
    </row>
    <row r="162" spans="1:57" hidden="1" x14ac:dyDescent="0.25">
      <c r="A162" s="409"/>
      <c r="B162" s="409"/>
      <c r="C162" s="282" t="s">
        <v>169</v>
      </c>
      <c r="D162" s="282"/>
      <c r="E162" s="456"/>
      <c r="F162" s="503"/>
      <c r="G162" s="503" t="str">
        <f>IF(OR(F156="",G156=""),"",IF(ISERROR((G156-F156)/F156),"",(G156-F156)/F156))</f>
        <v/>
      </c>
      <c r="H162" s="470"/>
      <c r="I162" s="503"/>
      <c r="J162" s="503" t="str">
        <f>IF(OR(I156="",J156=""),"",IF(ISERROR((J156-I156)/I156),"",(J156-I156)/I156))</f>
        <v/>
      </c>
      <c r="K162" s="470"/>
      <c r="L162" s="470"/>
      <c r="M162" s="503"/>
      <c r="N162" s="503" t="str">
        <f>IF(OR(M156="",N156=""),"",IF(ISERROR((N156-M156)/M156),"",(N156-M156)/M156))</f>
        <v/>
      </c>
      <c r="O162" s="470"/>
      <c r="P162" s="470"/>
      <c r="Q162" s="503"/>
      <c r="R162" s="503" t="str">
        <f>IF(OR(Q156="",R156=""),"",IF(ISERROR((R156-Q156)/Q156),"",(R156-Q156)/Q156))</f>
        <v/>
      </c>
      <c r="S162" s="282"/>
      <c r="T162" s="440"/>
      <c r="U162" s="440"/>
      <c r="V162" s="440"/>
      <c r="W162" s="440"/>
      <c r="X162" s="504" t="str">
        <f>IF(X128="","",J162)</f>
        <v/>
      </c>
      <c r="Y162" s="441"/>
      <c r="Z162" s="456"/>
      <c r="AA162" s="440"/>
      <c r="AB162" s="505" t="str">
        <f>IF(AB128="","",N162)</f>
        <v/>
      </c>
      <c r="AC162" s="441"/>
      <c r="AD162" s="456"/>
      <c r="AE162" s="440"/>
      <c r="AF162" s="504" t="str">
        <f>IF(AF128="","",R162)</f>
        <v/>
      </c>
      <c r="AG162" s="282"/>
      <c r="AH162" s="282"/>
      <c r="AI162" s="282"/>
      <c r="AJ162" s="282"/>
      <c r="AK162" s="282"/>
      <c r="AL162" s="282"/>
      <c r="AM162" s="282"/>
      <c r="AN162" s="282"/>
      <c r="AO162" s="282"/>
      <c r="AP162" s="282"/>
      <c r="AQ162" s="282"/>
      <c r="AR162" s="282"/>
    </row>
    <row r="163" spans="1:57" hidden="1" x14ac:dyDescent="0.25">
      <c r="A163" s="409"/>
      <c r="B163" s="409"/>
      <c r="C163" s="282" t="s">
        <v>161</v>
      </c>
      <c r="D163" s="282"/>
      <c r="E163" s="456"/>
      <c r="F163" s="456"/>
      <c r="G163" s="456"/>
      <c r="H163" s="470"/>
      <c r="I163" s="470" t="e">
        <f>I158-H158</f>
        <v>#VALUE!</v>
      </c>
      <c r="J163" s="470" t="e">
        <f>J158-H158</f>
        <v>#VALUE!</v>
      </c>
      <c r="K163" s="470"/>
      <c r="L163" s="470"/>
      <c r="M163" s="470" t="e">
        <f>M158-L158</f>
        <v>#VALUE!</v>
      </c>
      <c r="N163" s="470" t="e">
        <f>N158-L158</f>
        <v>#VALUE!</v>
      </c>
      <c r="O163" s="470"/>
      <c r="P163" s="470"/>
      <c r="Q163" s="470" t="e">
        <f>Q158-P158</f>
        <v>#VALUE!</v>
      </c>
      <c r="R163" s="470" t="e">
        <f>R158-P158</f>
        <v>#VALUE!</v>
      </c>
      <c r="S163" s="282"/>
      <c r="T163" s="440"/>
      <c r="U163" s="440"/>
      <c r="V163" s="440"/>
      <c r="W163" s="470" t="str">
        <f>IF(W128="","",I163)</f>
        <v/>
      </c>
      <c r="X163" s="470" t="str">
        <f>IF(X128="","",J163)</f>
        <v/>
      </c>
      <c r="Y163" s="441"/>
      <c r="Z163" s="456"/>
      <c r="AA163" s="470" t="str">
        <f>IF(AA128="","",M163)</f>
        <v/>
      </c>
      <c r="AB163" s="468" t="str">
        <f>IF(AB128="","",N163)</f>
        <v/>
      </c>
      <c r="AC163" s="441"/>
      <c r="AD163" s="456"/>
      <c r="AE163" s="470" t="str">
        <f>IF(AE128="","",Q163)</f>
        <v/>
      </c>
      <c r="AF163" s="470" t="str">
        <f>IF(AF128="","",R163)</f>
        <v/>
      </c>
      <c r="AG163" s="282"/>
      <c r="AH163" s="282"/>
      <c r="AI163" s="282"/>
      <c r="AJ163" s="282"/>
      <c r="AK163" s="282"/>
      <c r="AL163" s="282"/>
      <c r="AM163" s="282"/>
      <c r="AN163" s="282"/>
      <c r="AO163" s="282"/>
      <c r="AP163" s="282"/>
      <c r="AQ163" s="282"/>
      <c r="AR163" s="282"/>
    </row>
    <row r="164" spans="1:57" hidden="1" x14ac:dyDescent="0.25">
      <c r="A164" s="409"/>
      <c r="B164" s="409"/>
      <c r="C164" s="282" t="s">
        <v>160</v>
      </c>
      <c r="D164" s="282"/>
      <c r="E164" s="456"/>
      <c r="F164" s="456"/>
      <c r="G164" s="456"/>
      <c r="H164" s="470"/>
      <c r="I164" s="503" t="str">
        <f>IF(OR(H158="",I158=""),"",IF(ISERROR((I158-H158)/H158),"",(I158-H158)/H158))</f>
        <v/>
      </c>
      <c r="J164" s="503" t="str">
        <f>IF(OR(H158="",J158=""),"",IF(ISERROR((J158-H158)/H158),"",(J158-H158)/H158))</f>
        <v/>
      </c>
      <c r="K164" s="470"/>
      <c r="L164" s="470"/>
      <c r="M164" s="503" t="str">
        <f>IF(OR(L158="",M158=""),"",IF(ISERROR((M158-L158)/L158),"",(M158-L158)/L158))</f>
        <v/>
      </c>
      <c r="N164" s="503" t="str">
        <f>IF(OR(L158="",N158=""),"",IF(ISERROR((N158-L158)/L158),"",(N158-L158)/L158))</f>
        <v/>
      </c>
      <c r="O164" s="470"/>
      <c r="P164" s="470"/>
      <c r="Q164" s="503" t="str">
        <f>IF(OR(P158="",Q158=""),"",IF(ISERROR((Q158-P158)/P158),"",(Q158-P158)/P158))</f>
        <v/>
      </c>
      <c r="R164" s="503" t="str">
        <f>IF(OR(P158="",R158=""),"",IF(ISERROR((R158-P158)/P158),"",(R158-P158)/P158))</f>
        <v/>
      </c>
      <c r="S164" s="282"/>
      <c r="T164" s="440"/>
      <c r="U164" s="440"/>
      <c r="V164" s="440"/>
      <c r="W164" s="504" t="str">
        <f>IF(W128="","",I164)</f>
        <v/>
      </c>
      <c r="X164" s="504" t="str">
        <f>IF(X128="","",J164)</f>
        <v/>
      </c>
      <c r="Y164" s="441"/>
      <c r="Z164" s="456"/>
      <c r="AA164" s="504" t="str">
        <f>IF(AA128="","",M164)</f>
        <v/>
      </c>
      <c r="AB164" s="505" t="str">
        <f>IF(AB128="","",N164)</f>
        <v/>
      </c>
      <c r="AC164" s="441"/>
      <c r="AD164" s="456"/>
      <c r="AE164" s="504" t="str">
        <f>IF(AE128="","",Q164)</f>
        <v/>
      </c>
      <c r="AF164" s="504" t="str">
        <f>IF(AF128="","",R164)</f>
        <v/>
      </c>
      <c r="AG164" s="282"/>
      <c r="AH164" s="282"/>
      <c r="AI164" s="282"/>
      <c r="AJ164" s="282"/>
      <c r="AK164" s="282"/>
      <c r="AL164" s="282"/>
      <c r="AM164" s="282"/>
      <c r="AN164" s="282"/>
      <c r="AO164" s="282"/>
      <c r="AP164" s="282"/>
      <c r="AQ164" s="282"/>
      <c r="AR164" s="282"/>
    </row>
    <row r="165" spans="1:57" hidden="1" x14ac:dyDescent="0.25">
      <c r="A165" s="409"/>
      <c r="B165" s="409"/>
      <c r="C165" s="282"/>
      <c r="D165" s="282"/>
      <c r="E165" s="456"/>
      <c r="F165" s="456"/>
      <c r="G165" s="456"/>
      <c r="H165" s="456"/>
      <c r="I165" s="456"/>
      <c r="J165" s="456"/>
      <c r="K165" s="456"/>
      <c r="L165" s="440"/>
      <c r="M165" s="440"/>
      <c r="N165" s="440"/>
      <c r="O165" s="440"/>
      <c r="P165" s="440"/>
      <c r="Q165" s="440"/>
      <c r="R165" s="440"/>
      <c r="S165" s="463"/>
      <c r="T165" s="463"/>
      <c r="U165" s="463"/>
      <c r="V165" s="438"/>
      <c r="W165" s="438"/>
      <c r="X165" s="438"/>
      <c r="Y165" s="441"/>
      <c r="Z165" s="441"/>
      <c r="AA165" s="441"/>
      <c r="AB165" s="439"/>
      <c r="AC165" s="441"/>
      <c r="AD165" s="441"/>
      <c r="AE165" s="441"/>
      <c r="AF165" s="441"/>
      <c r="AG165" s="441"/>
      <c r="AH165" s="441"/>
      <c r="AI165" s="441"/>
      <c r="AJ165" s="441"/>
      <c r="AK165" s="441"/>
      <c r="AL165" s="441"/>
      <c r="AM165" s="441"/>
      <c r="AN165" s="441"/>
      <c r="AO165" s="441"/>
      <c r="AP165" s="441"/>
      <c r="AQ165" s="441"/>
      <c r="AR165" s="441"/>
    </row>
    <row r="166" spans="1:57" hidden="1" x14ac:dyDescent="0.25">
      <c r="A166" s="409"/>
      <c r="B166" s="409"/>
      <c r="C166" s="409"/>
      <c r="D166" s="409"/>
      <c r="E166" s="438"/>
      <c r="F166" s="438"/>
      <c r="G166" s="438"/>
      <c r="H166" s="438"/>
      <c r="I166" s="438"/>
      <c r="J166" s="438"/>
      <c r="K166" s="438"/>
      <c r="L166" s="438"/>
      <c r="M166" s="438"/>
      <c r="N166" s="438"/>
      <c r="O166" s="438"/>
      <c r="P166" s="438"/>
      <c r="Q166" s="438"/>
      <c r="R166" s="438"/>
      <c r="S166" s="439"/>
      <c r="T166" s="439"/>
      <c r="U166" s="439"/>
      <c r="V166" s="438"/>
      <c r="W166" s="438"/>
      <c r="X166" s="438"/>
      <c r="Y166" s="441"/>
      <c r="Z166" s="441"/>
      <c r="AA166" s="441"/>
      <c r="AB166" s="439"/>
      <c r="AC166" s="441"/>
      <c r="AD166" s="441"/>
      <c r="AE166" s="441"/>
      <c r="AF166" s="441"/>
      <c r="AG166" s="441"/>
      <c r="AH166" s="441"/>
      <c r="AI166" s="441"/>
      <c r="AJ166" s="441"/>
      <c r="AK166" s="441"/>
      <c r="AL166" s="441"/>
      <c r="AM166" s="441"/>
      <c r="AN166" s="441"/>
      <c r="AO166" s="441"/>
      <c r="AP166" s="441"/>
      <c r="AQ166" s="441"/>
      <c r="AR166" s="441"/>
    </row>
    <row r="167" spans="1:57" s="260" customFormat="1" ht="55.5" hidden="1" customHeight="1" x14ac:dyDescent="0.25">
      <c r="A167" s="442"/>
      <c r="B167" s="442"/>
      <c r="C167" s="271" t="s">
        <v>34</v>
      </c>
      <c r="D167" s="271"/>
      <c r="E167" s="267" t="str">
        <f t="shared" ref="E167:J167" si="137">E127</f>
        <v>€/ha</v>
      </c>
      <c r="F167" s="267" t="str">
        <f t="shared" si="137"/>
        <v>€/ha</v>
      </c>
      <c r="G167" s="267" t="str">
        <f t="shared" si="137"/>
        <v>€/ha</v>
      </c>
      <c r="H167" s="267" t="str">
        <f t="shared" si="137"/>
        <v>€/t rdt moyen</v>
      </c>
      <c r="I167" s="267" t="str">
        <f t="shared" si="137"/>
        <v>€/t rdt moyen</v>
      </c>
      <c r="J167" s="267" t="str">
        <f t="shared" si="137"/>
        <v>€/t rdt moyen</v>
      </c>
      <c r="K167" s="267"/>
      <c r="L167" s="506" t="str">
        <f>L127</f>
        <v>€/t rdt min</v>
      </c>
      <c r="M167" s="267" t="str">
        <f>M127</f>
        <v>€/t rdt min</v>
      </c>
      <c r="N167" s="267" t="str">
        <f>N127</f>
        <v>€/t rdt min</v>
      </c>
      <c r="O167" s="267"/>
      <c r="P167" s="267" t="str">
        <f>P127</f>
        <v>€/t rdt max</v>
      </c>
      <c r="Q167" s="267" t="str">
        <f>Q127</f>
        <v>€/t rdt max</v>
      </c>
      <c r="R167" s="267" t="str">
        <f>R127</f>
        <v>€/t rdt max</v>
      </c>
      <c r="S167" s="507"/>
      <c r="T167" s="507"/>
      <c r="U167" s="507"/>
      <c r="V167" s="442"/>
      <c r="W167" s="442"/>
      <c r="X167" s="442"/>
      <c r="Y167" s="446"/>
      <c r="Z167" s="446"/>
      <c r="AA167" s="446"/>
      <c r="AB167" s="507"/>
      <c r="AC167" s="446"/>
      <c r="AD167" s="446"/>
      <c r="AE167" s="446"/>
      <c r="AF167" s="446"/>
      <c r="AG167" s="446"/>
      <c r="AH167" s="446"/>
      <c r="AI167" s="446"/>
      <c r="AJ167" s="446"/>
      <c r="AK167" s="446"/>
      <c r="AL167" s="446"/>
      <c r="AM167" s="446"/>
      <c r="AN167" s="446"/>
      <c r="AO167" s="446"/>
      <c r="AP167" s="446"/>
      <c r="AQ167" s="446"/>
      <c r="AR167" s="446"/>
      <c r="AS167" s="237"/>
      <c r="AT167" s="237"/>
      <c r="AU167" s="237"/>
      <c r="AV167" s="237"/>
      <c r="AW167" s="237"/>
      <c r="AX167" s="237"/>
      <c r="AY167" s="237"/>
      <c r="AZ167" s="237"/>
      <c r="BA167" s="237"/>
      <c r="BB167" s="237"/>
      <c r="BC167" s="237"/>
      <c r="BD167" s="237"/>
      <c r="BE167" s="237"/>
    </row>
    <row r="168" spans="1:57" hidden="1" x14ac:dyDescent="0.25">
      <c r="A168" s="409"/>
      <c r="B168" s="409"/>
      <c r="C168" s="409"/>
      <c r="D168" s="409"/>
      <c r="E168" s="440" t="str">
        <f>IF(I17="","",I17)</f>
        <v/>
      </c>
      <c r="F168" s="440" t="str">
        <f>IF(M17="","",M17)</f>
        <v/>
      </c>
      <c r="G168" s="440" t="str">
        <f>IF(Q17="","",Q17)</f>
        <v/>
      </c>
      <c r="H168" s="440" t="str">
        <f>IF(I17="","",I17)</f>
        <v/>
      </c>
      <c r="I168" s="440" t="str">
        <f>IF(M17="","",M17)</f>
        <v/>
      </c>
      <c r="J168" s="440" t="str">
        <f>IF(Q17="","",Q17)</f>
        <v/>
      </c>
      <c r="K168" s="440"/>
      <c r="L168" s="508" t="str">
        <f>IF(I17="","",I17)</f>
        <v/>
      </c>
      <c r="M168" s="440" t="str">
        <f>IF(M17="","",M17)</f>
        <v/>
      </c>
      <c r="N168" s="440" t="str">
        <f>IF(Q17="","",Q17)</f>
        <v/>
      </c>
      <c r="O168" s="440"/>
      <c r="P168" s="440" t="str">
        <f>IF(I17="","",I17)</f>
        <v/>
      </c>
      <c r="Q168" s="440" t="str">
        <f>IF(M17="","",M17)</f>
        <v/>
      </c>
      <c r="R168" s="440" t="str">
        <f>IF(Q17="","",Q17)</f>
        <v/>
      </c>
      <c r="S168" s="463"/>
      <c r="T168" s="463"/>
      <c r="U168" s="463"/>
      <c r="V168" s="438"/>
      <c r="W168" s="438"/>
      <c r="X168" s="438"/>
      <c r="Y168" s="441"/>
      <c r="Z168" s="441"/>
      <c r="AA168" s="441"/>
      <c r="AB168" s="439"/>
      <c r="AC168" s="441"/>
      <c r="AD168" s="441"/>
      <c r="AE168" s="441"/>
      <c r="AF168" s="441"/>
      <c r="AG168" s="441"/>
      <c r="AH168" s="441"/>
      <c r="AI168" s="441"/>
      <c r="AJ168" s="441"/>
      <c r="AK168" s="441"/>
      <c r="AL168" s="441"/>
      <c r="AM168" s="441"/>
      <c r="AN168" s="441"/>
      <c r="AO168" s="441"/>
      <c r="AP168" s="441"/>
      <c r="AQ168" s="441"/>
      <c r="AR168" s="441"/>
    </row>
    <row r="169" spans="1:57" hidden="1" x14ac:dyDescent="0.25">
      <c r="A169" s="409"/>
      <c r="B169" s="282"/>
      <c r="C169" s="409" t="str">
        <f t="shared" ref="C169:C176" si="138">+C132</f>
        <v>Semences</v>
      </c>
      <c r="D169" s="409"/>
      <c r="E169" s="500">
        <f t="shared" ref="E169:E181" si="139">IF(E132="",NA(),E132-$E132)</f>
        <v>0</v>
      </c>
      <c r="F169" s="500" t="e">
        <f t="shared" ref="F169:F181" si="140">IF(T132="",NA(),T132-$S132)</f>
        <v>#N/A</v>
      </c>
      <c r="G169" s="500" t="e">
        <f t="shared" ref="G169:G181" si="141">IF(U132="",NA(),U132-$S132)</f>
        <v>#N/A</v>
      </c>
      <c r="H169" s="440" t="e">
        <f>IF(V132="",NA(),V132-$V132)</f>
        <v>#N/A</v>
      </c>
      <c r="I169" s="440" t="e">
        <f>IF(W132="",NA(),W132-$V132)</f>
        <v>#N/A</v>
      </c>
      <c r="J169" s="440" t="e">
        <f>IF(X132="",NA(),X132-$V132)</f>
        <v>#N/A</v>
      </c>
      <c r="K169" s="440"/>
      <c r="L169" s="440" t="e">
        <f>IF(Z132="",NA(),Z132-$Z132)</f>
        <v>#N/A</v>
      </c>
      <c r="M169" s="440" t="e">
        <f>IF(AA132="",NA(),AA132-$Z132)</f>
        <v>#N/A</v>
      </c>
      <c r="N169" s="440" t="e">
        <f>IF(AB132="",NA(),AB132-$Z132)</f>
        <v>#N/A</v>
      </c>
      <c r="O169" s="440"/>
      <c r="P169" s="440" t="e">
        <f>IF(AD132="",NA(),AD132-$AD132)</f>
        <v>#N/A</v>
      </c>
      <c r="Q169" s="440" t="e">
        <f>IF(AE132="",NA(),AE132-$AD132)</f>
        <v>#N/A</v>
      </c>
      <c r="R169" s="440" t="e">
        <f>IF(AF132="",NA(),AF132-$AD132)</f>
        <v>#N/A</v>
      </c>
      <c r="S169" s="463"/>
      <c r="T169" s="463"/>
      <c r="U169" s="463"/>
      <c r="V169" s="438"/>
      <c r="W169" s="438"/>
      <c r="X169" s="438"/>
      <c r="Y169" s="441"/>
      <c r="Z169" s="441"/>
      <c r="AA169" s="441"/>
      <c r="AB169" s="439"/>
      <c r="AC169" s="441"/>
      <c r="AD169" s="441"/>
      <c r="AE169" s="441"/>
      <c r="AF169" s="441"/>
      <c r="AG169" s="441"/>
      <c r="AH169" s="441"/>
      <c r="AI169" s="441"/>
      <c r="AJ169" s="441"/>
      <c r="AK169" s="441"/>
      <c r="AL169" s="441"/>
      <c r="AM169" s="441"/>
      <c r="AN169" s="441"/>
      <c r="AO169" s="441"/>
      <c r="AP169" s="441"/>
      <c r="AQ169" s="441"/>
      <c r="AR169" s="441"/>
    </row>
    <row r="170" spans="1:57" hidden="1" x14ac:dyDescent="0.25">
      <c r="A170" s="409"/>
      <c r="B170" s="282"/>
      <c r="C170" s="409" t="str">
        <f t="shared" si="138"/>
        <v>Engrais total</v>
      </c>
      <c r="D170" s="409"/>
      <c r="E170" s="500">
        <f t="shared" si="139"/>
        <v>0</v>
      </c>
      <c r="F170" s="500" t="e">
        <f t="shared" si="140"/>
        <v>#N/A</v>
      </c>
      <c r="G170" s="500" t="e">
        <f t="shared" si="141"/>
        <v>#N/A</v>
      </c>
      <c r="H170" s="440" t="e">
        <f t="shared" ref="H170:I170" si="142">IF(V133="",NA(),V133-$V133)</f>
        <v>#N/A</v>
      </c>
      <c r="I170" s="440" t="e">
        <f t="shared" si="142"/>
        <v>#N/A</v>
      </c>
      <c r="J170" s="440" t="e">
        <f t="shared" ref="J170:J181" si="143">IF(X133="",NA(),X133-$V133)</f>
        <v>#N/A</v>
      </c>
      <c r="K170" s="440"/>
      <c r="L170" s="440" t="e">
        <f t="shared" ref="L170:M170" si="144">IF(Z133="",NA(),Z133-$Z133)</f>
        <v>#N/A</v>
      </c>
      <c r="M170" s="440" t="e">
        <f t="shared" si="144"/>
        <v>#N/A</v>
      </c>
      <c r="N170" s="440" t="e">
        <f t="shared" ref="N170:N181" si="145">IF(AB133="",NA(),AB133-$Z133)</f>
        <v>#N/A</v>
      </c>
      <c r="O170" s="440"/>
      <c r="P170" s="440" t="e">
        <f t="shared" ref="P170:R170" si="146">IF(AD133="",NA(),AD133-$AD133)</f>
        <v>#N/A</v>
      </c>
      <c r="Q170" s="440" t="e">
        <f t="shared" si="146"/>
        <v>#N/A</v>
      </c>
      <c r="R170" s="440" t="e">
        <f t="shared" si="146"/>
        <v>#N/A</v>
      </c>
      <c r="S170" s="463"/>
      <c r="T170" s="463"/>
      <c r="U170" s="463"/>
      <c r="V170" s="438"/>
      <c r="W170" s="438"/>
      <c r="X170" s="438"/>
      <c r="Y170" s="441"/>
      <c r="Z170" s="441"/>
      <c r="AA170" s="441"/>
      <c r="AB170" s="439"/>
      <c r="AC170" s="441"/>
      <c r="AD170" s="441"/>
      <c r="AE170" s="441"/>
      <c r="AF170" s="441"/>
      <c r="AG170" s="441"/>
      <c r="AH170" s="441"/>
      <c r="AI170" s="441"/>
      <c r="AJ170" s="441"/>
      <c r="AK170" s="441"/>
      <c r="AL170" s="441"/>
      <c r="AM170" s="441"/>
      <c r="AN170" s="441"/>
      <c r="AO170" s="441"/>
      <c r="AP170" s="441"/>
      <c r="AQ170" s="441"/>
      <c r="AR170" s="441"/>
    </row>
    <row r="171" spans="1:57" hidden="1" x14ac:dyDescent="0.25">
      <c r="A171" s="409"/>
      <c r="B171" s="475"/>
      <c r="C171" s="509" t="str">
        <f t="shared" si="138"/>
        <v>dont Azote simple</v>
      </c>
      <c r="D171" s="509"/>
      <c r="E171" s="500">
        <f t="shared" si="139"/>
        <v>0</v>
      </c>
      <c r="F171" s="500" t="e">
        <f t="shared" si="140"/>
        <v>#N/A</v>
      </c>
      <c r="G171" s="500" t="e">
        <f t="shared" si="141"/>
        <v>#N/A</v>
      </c>
      <c r="H171" s="440" t="e">
        <f t="shared" ref="H171:I171" si="147">IF(V134="",NA(),V134-$V134)</f>
        <v>#N/A</v>
      </c>
      <c r="I171" s="440" t="e">
        <f t="shared" si="147"/>
        <v>#N/A</v>
      </c>
      <c r="J171" s="440" t="e">
        <f t="shared" si="143"/>
        <v>#N/A</v>
      </c>
      <c r="K171" s="440"/>
      <c r="L171" s="440" t="e">
        <f t="shared" ref="L171:M171" si="148">IF(Z134="",NA(),Z134-$Z134)</f>
        <v>#N/A</v>
      </c>
      <c r="M171" s="440" t="e">
        <f t="shared" si="148"/>
        <v>#N/A</v>
      </c>
      <c r="N171" s="440" t="e">
        <f t="shared" si="145"/>
        <v>#N/A</v>
      </c>
      <c r="O171" s="440"/>
      <c r="P171" s="440" t="e">
        <f t="shared" ref="P171:R171" si="149">IF(AD134="",NA(),AD134-$AD134)</f>
        <v>#N/A</v>
      </c>
      <c r="Q171" s="440" t="e">
        <f t="shared" si="149"/>
        <v>#N/A</v>
      </c>
      <c r="R171" s="440" t="e">
        <f t="shared" si="149"/>
        <v>#N/A</v>
      </c>
      <c r="S171" s="463"/>
      <c r="T171" s="463"/>
      <c r="U171" s="463"/>
      <c r="V171" s="438"/>
      <c r="W171" s="438"/>
      <c r="X171" s="438"/>
      <c r="Y171" s="441"/>
      <c r="Z171" s="441"/>
      <c r="AA171" s="441"/>
      <c r="AB171" s="439"/>
      <c r="AC171" s="441"/>
      <c r="AD171" s="441"/>
      <c r="AE171" s="441"/>
      <c r="AF171" s="441"/>
      <c r="AG171" s="441"/>
      <c r="AH171" s="441"/>
      <c r="AI171" s="441"/>
      <c r="AJ171" s="441"/>
      <c r="AK171" s="441"/>
      <c r="AL171" s="441"/>
      <c r="AM171" s="441"/>
      <c r="AN171" s="441"/>
      <c r="AO171" s="441"/>
      <c r="AP171" s="441"/>
      <c r="AQ171" s="441"/>
      <c r="AR171" s="441"/>
    </row>
    <row r="172" spans="1:57" hidden="1" x14ac:dyDescent="0.25">
      <c r="A172" s="409"/>
      <c r="B172" s="409"/>
      <c r="C172" s="409" t="str">
        <f t="shared" si="138"/>
        <v>Produits phytosanitaires</v>
      </c>
      <c r="D172" s="409"/>
      <c r="E172" s="500">
        <f t="shared" si="139"/>
        <v>0</v>
      </c>
      <c r="F172" s="500" t="e">
        <f t="shared" si="140"/>
        <v>#N/A</v>
      </c>
      <c r="G172" s="500" t="e">
        <f t="shared" si="141"/>
        <v>#N/A</v>
      </c>
      <c r="H172" s="440" t="e">
        <f t="shared" ref="H172:I172" si="150">IF(V135="",NA(),V135-$V135)</f>
        <v>#N/A</v>
      </c>
      <c r="I172" s="440" t="e">
        <f t="shared" si="150"/>
        <v>#N/A</v>
      </c>
      <c r="J172" s="440" t="e">
        <f t="shared" si="143"/>
        <v>#N/A</v>
      </c>
      <c r="K172" s="440"/>
      <c r="L172" s="440" t="e">
        <f t="shared" ref="L172:M172" si="151">IF(Z135="",NA(),Z135-$Z135)</f>
        <v>#N/A</v>
      </c>
      <c r="M172" s="440" t="e">
        <f t="shared" si="151"/>
        <v>#N/A</v>
      </c>
      <c r="N172" s="440" t="e">
        <f t="shared" si="145"/>
        <v>#N/A</v>
      </c>
      <c r="O172" s="440"/>
      <c r="P172" s="440" t="e">
        <f t="shared" ref="P172:R172" si="152">IF(AD135="",NA(),AD135-$AD135)</f>
        <v>#N/A</v>
      </c>
      <c r="Q172" s="440" t="e">
        <f t="shared" si="152"/>
        <v>#N/A</v>
      </c>
      <c r="R172" s="440" t="e">
        <f t="shared" si="152"/>
        <v>#N/A</v>
      </c>
      <c r="S172" s="463"/>
      <c r="T172" s="463"/>
      <c r="U172" s="463"/>
      <c r="V172" s="438"/>
      <c r="W172" s="438"/>
      <c r="X172" s="438"/>
      <c r="Y172" s="441"/>
      <c r="Z172" s="441"/>
      <c r="AA172" s="441"/>
      <c r="AB172" s="439"/>
      <c r="AC172" s="441"/>
      <c r="AD172" s="441"/>
      <c r="AE172" s="441"/>
      <c r="AF172" s="441"/>
      <c r="AG172" s="441"/>
      <c r="AH172" s="441"/>
      <c r="AI172" s="441"/>
      <c r="AJ172" s="441"/>
      <c r="AK172" s="441"/>
      <c r="AL172" s="441"/>
      <c r="AM172" s="441"/>
      <c r="AN172" s="441"/>
      <c r="AO172" s="441"/>
      <c r="AP172" s="441"/>
      <c r="AQ172" s="441"/>
      <c r="AR172" s="441"/>
    </row>
    <row r="173" spans="1:57" hidden="1" x14ac:dyDescent="0.25">
      <c r="A173" s="409"/>
      <c r="B173" s="282"/>
      <c r="C173" s="409" t="str">
        <f t="shared" si="138"/>
        <v>Irrigation (redevance+énergie)</v>
      </c>
      <c r="D173" s="409"/>
      <c r="E173" s="500">
        <f t="shared" si="139"/>
        <v>0</v>
      </c>
      <c r="F173" s="500" t="e">
        <f t="shared" si="140"/>
        <v>#N/A</v>
      </c>
      <c r="G173" s="500" t="e">
        <f t="shared" si="141"/>
        <v>#N/A</v>
      </c>
      <c r="H173" s="440" t="e">
        <f t="shared" ref="H173:I173" si="153">IF(V136="",NA(),V136-$V136)</f>
        <v>#N/A</v>
      </c>
      <c r="I173" s="440" t="e">
        <f t="shared" si="153"/>
        <v>#N/A</v>
      </c>
      <c r="J173" s="440" t="e">
        <f t="shared" si="143"/>
        <v>#N/A</v>
      </c>
      <c r="K173" s="440"/>
      <c r="L173" s="440" t="e">
        <f t="shared" ref="L173:M173" si="154">IF(Z136="",NA(),Z136-$Z136)</f>
        <v>#N/A</v>
      </c>
      <c r="M173" s="440" t="e">
        <f t="shared" si="154"/>
        <v>#N/A</v>
      </c>
      <c r="N173" s="440" t="e">
        <f t="shared" si="145"/>
        <v>#N/A</v>
      </c>
      <c r="O173" s="440"/>
      <c r="P173" s="440" t="e">
        <f t="shared" ref="P173:R173" si="155">IF(AD136="",NA(),AD136-$AD136)</f>
        <v>#N/A</v>
      </c>
      <c r="Q173" s="440" t="e">
        <f t="shared" si="155"/>
        <v>#N/A</v>
      </c>
      <c r="R173" s="440" t="e">
        <f t="shared" si="155"/>
        <v>#N/A</v>
      </c>
      <c r="S173" s="463"/>
      <c r="T173" s="463"/>
      <c r="U173" s="463"/>
      <c r="V173" s="438"/>
      <c r="W173" s="438"/>
      <c r="X173" s="438"/>
      <c r="Y173" s="441"/>
      <c r="Z173" s="441"/>
      <c r="AA173" s="441"/>
      <c r="AB173" s="439"/>
      <c r="AC173" s="441"/>
      <c r="AD173" s="441"/>
      <c r="AE173" s="441"/>
      <c r="AF173" s="441"/>
      <c r="AG173" s="441"/>
      <c r="AH173" s="441"/>
      <c r="AI173" s="441"/>
      <c r="AJ173" s="441"/>
      <c r="AK173" s="441"/>
      <c r="AL173" s="441"/>
      <c r="AM173" s="441"/>
      <c r="AN173" s="441"/>
      <c r="AO173" s="441"/>
      <c r="AP173" s="441"/>
      <c r="AQ173" s="441"/>
      <c r="AR173" s="441"/>
    </row>
    <row r="174" spans="1:57" hidden="1" x14ac:dyDescent="0.25">
      <c r="A174" s="409"/>
      <c r="B174" s="282"/>
      <c r="C174" s="409" t="str">
        <f t="shared" si="138"/>
        <v>Autres intrants</v>
      </c>
      <c r="D174" s="409"/>
      <c r="E174" s="500">
        <f t="shared" si="139"/>
        <v>0</v>
      </c>
      <c r="F174" s="500" t="e">
        <f t="shared" si="140"/>
        <v>#N/A</v>
      </c>
      <c r="G174" s="500" t="e">
        <f t="shared" si="141"/>
        <v>#N/A</v>
      </c>
      <c r="H174" s="440" t="e">
        <f t="shared" ref="H174:I174" si="156">IF(V137="",NA(),V137-$V137)</f>
        <v>#N/A</v>
      </c>
      <c r="I174" s="440" t="e">
        <f t="shared" si="156"/>
        <v>#N/A</v>
      </c>
      <c r="J174" s="440" t="e">
        <f t="shared" si="143"/>
        <v>#N/A</v>
      </c>
      <c r="K174" s="440"/>
      <c r="L174" s="440" t="e">
        <f t="shared" ref="L174:M174" si="157">IF(Z137="",NA(),Z137-$Z137)</f>
        <v>#N/A</v>
      </c>
      <c r="M174" s="440" t="e">
        <f t="shared" si="157"/>
        <v>#N/A</v>
      </c>
      <c r="N174" s="440" t="e">
        <f t="shared" si="145"/>
        <v>#N/A</v>
      </c>
      <c r="O174" s="440"/>
      <c r="P174" s="440" t="e">
        <f t="shared" ref="P174:R174" si="158">IF(AD137="",NA(),AD137-$AD137)</f>
        <v>#N/A</v>
      </c>
      <c r="Q174" s="440" t="e">
        <f t="shared" si="158"/>
        <v>#N/A</v>
      </c>
      <c r="R174" s="440" t="e">
        <f t="shared" si="158"/>
        <v>#N/A</v>
      </c>
      <c r="S174" s="463"/>
      <c r="T174" s="463"/>
      <c r="U174" s="463"/>
      <c r="V174" s="438"/>
      <c r="W174" s="438"/>
      <c r="X174" s="438"/>
      <c r="Y174" s="441"/>
      <c r="Z174" s="441"/>
      <c r="AA174" s="441"/>
      <c r="AB174" s="439"/>
      <c r="AC174" s="441"/>
      <c r="AD174" s="441"/>
      <c r="AE174" s="441"/>
      <c r="AF174" s="441"/>
      <c r="AG174" s="441"/>
      <c r="AH174" s="441"/>
      <c r="AI174" s="441"/>
      <c r="AJ174" s="441"/>
      <c r="AK174" s="441"/>
      <c r="AL174" s="441"/>
      <c r="AM174" s="441"/>
      <c r="AN174" s="441"/>
      <c r="AO174" s="441"/>
      <c r="AP174" s="441"/>
      <c r="AQ174" s="441"/>
      <c r="AR174" s="441"/>
    </row>
    <row r="175" spans="1:57" hidden="1" x14ac:dyDescent="0.25">
      <c r="A175" s="409"/>
      <c r="B175" s="282"/>
      <c r="C175" s="409" t="str">
        <f t="shared" si="138"/>
        <v>Séchage</v>
      </c>
      <c r="D175" s="409"/>
      <c r="E175" s="500">
        <f t="shared" si="139"/>
        <v>0</v>
      </c>
      <c r="F175" s="500" t="e">
        <f t="shared" si="140"/>
        <v>#N/A</v>
      </c>
      <c r="G175" s="500" t="e">
        <f t="shared" si="141"/>
        <v>#N/A</v>
      </c>
      <c r="H175" s="440" t="e">
        <f t="shared" ref="H175:I175" si="159">IF(V138="",NA(),V138-$V138)</f>
        <v>#N/A</v>
      </c>
      <c r="I175" s="440" t="e">
        <f t="shared" si="159"/>
        <v>#N/A</v>
      </c>
      <c r="J175" s="440" t="e">
        <f t="shared" si="143"/>
        <v>#N/A</v>
      </c>
      <c r="K175" s="440"/>
      <c r="L175" s="440" t="e">
        <f t="shared" ref="L175:M175" si="160">IF(Z138="",NA(),Z138-$Z138)</f>
        <v>#N/A</v>
      </c>
      <c r="M175" s="440" t="e">
        <f t="shared" si="160"/>
        <v>#N/A</v>
      </c>
      <c r="N175" s="440" t="e">
        <f t="shared" si="145"/>
        <v>#N/A</v>
      </c>
      <c r="O175" s="440"/>
      <c r="P175" s="440" t="e">
        <f t="shared" ref="P175:R175" si="161">IF(AD138="",NA(),AD138-$AD138)</f>
        <v>#N/A</v>
      </c>
      <c r="Q175" s="440" t="e">
        <f t="shared" si="161"/>
        <v>#N/A</v>
      </c>
      <c r="R175" s="440" t="e">
        <f t="shared" si="161"/>
        <v>#N/A</v>
      </c>
      <c r="S175" s="463"/>
      <c r="T175" s="463"/>
      <c r="U175" s="463"/>
      <c r="V175" s="438"/>
      <c r="W175" s="438"/>
      <c r="X175" s="438"/>
      <c r="Y175" s="441"/>
      <c r="Z175" s="441"/>
      <c r="AA175" s="441"/>
      <c r="AB175" s="439"/>
      <c r="AC175" s="441"/>
      <c r="AD175" s="441"/>
      <c r="AE175" s="441"/>
      <c r="AF175" s="441"/>
      <c r="AG175" s="441"/>
      <c r="AH175" s="441"/>
      <c r="AI175" s="441"/>
      <c r="AJ175" s="441"/>
      <c r="AK175" s="441"/>
      <c r="AL175" s="441"/>
      <c r="AM175" s="441"/>
      <c r="AN175" s="441"/>
      <c r="AO175" s="441"/>
      <c r="AP175" s="441"/>
      <c r="AQ175" s="441"/>
      <c r="AR175" s="441"/>
    </row>
    <row r="176" spans="1:57" hidden="1" x14ac:dyDescent="0.25">
      <c r="A176" s="409"/>
      <c r="B176" s="282"/>
      <c r="C176" s="409" t="str">
        <f t="shared" si="138"/>
        <v>Stockage (énergie)</v>
      </c>
      <c r="D176" s="409"/>
      <c r="E176" s="500">
        <f t="shared" si="139"/>
        <v>0</v>
      </c>
      <c r="F176" s="500" t="e">
        <f t="shared" si="140"/>
        <v>#N/A</v>
      </c>
      <c r="G176" s="500" t="e">
        <f t="shared" si="141"/>
        <v>#N/A</v>
      </c>
      <c r="H176" s="440" t="e">
        <f t="shared" ref="H176:I176" si="162">IF(V139="",NA(),V139-$V139)</f>
        <v>#N/A</v>
      </c>
      <c r="I176" s="440" t="e">
        <f t="shared" si="162"/>
        <v>#N/A</v>
      </c>
      <c r="J176" s="440" t="e">
        <f t="shared" si="143"/>
        <v>#N/A</v>
      </c>
      <c r="K176" s="440"/>
      <c r="L176" s="440" t="e">
        <f t="shared" ref="L176:M176" si="163">IF(Z139="",NA(),Z139-$Z139)</f>
        <v>#N/A</v>
      </c>
      <c r="M176" s="440" t="e">
        <f t="shared" si="163"/>
        <v>#N/A</v>
      </c>
      <c r="N176" s="440" t="e">
        <f t="shared" si="145"/>
        <v>#N/A</v>
      </c>
      <c r="O176" s="440"/>
      <c r="P176" s="440" t="e">
        <f t="shared" ref="P176:R176" si="164">IF(AD139="",NA(),AD139-$AD139)</f>
        <v>#N/A</v>
      </c>
      <c r="Q176" s="440" t="e">
        <f t="shared" si="164"/>
        <v>#N/A</v>
      </c>
      <c r="R176" s="440" t="e">
        <f t="shared" si="164"/>
        <v>#N/A</v>
      </c>
      <c r="S176" s="463"/>
      <c r="T176" s="463"/>
      <c r="U176" s="463"/>
      <c r="V176" s="438"/>
      <c r="W176" s="438"/>
      <c r="X176" s="438"/>
      <c r="Y176" s="441"/>
      <c r="Z176" s="441"/>
      <c r="AA176" s="441"/>
      <c r="AB176" s="439"/>
      <c r="AC176" s="441"/>
      <c r="AD176" s="441"/>
      <c r="AE176" s="441"/>
      <c r="AF176" s="441"/>
      <c r="AG176" s="441"/>
      <c r="AH176" s="441"/>
      <c r="AI176" s="441"/>
      <c r="AJ176" s="441"/>
      <c r="AK176" s="441"/>
      <c r="AL176" s="441"/>
      <c r="AM176" s="441"/>
      <c r="AN176" s="441"/>
      <c r="AO176" s="441"/>
      <c r="AP176" s="441"/>
      <c r="AQ176" s="441"/>
      <c r="AR176" s="441"/>
    </row>
    <row r="177" spans="1:57" hidden="1" x14ac:dyDescent="0.25">
      <c r="A177" s="409"/>
      <c r="B177" s="282"/>
      <c r="C177" s="409" t="str">
        <f>+C140</f>
        <v>Carburant</v>
      </c>
      <c r="D177" s="409"/>
      <c r="E177" s="500">
        <f t="shared" si="139"/>
        <v>0</v>
      </c>
      <c r="F177" s="500" t="e">
        <f t="shared" si="140"/>
        <v>#N/A</v>
      </c>
      <c r="G177" s="500" t="e">
        <f t="shared" si="141"/>
        <v>#N/A</v>
      </c>
      <c r="H177" s="440" t="e">
        <f t="shared" ref="H177:I177" si="165">IF(V140="",NA(),V140-$V140)</f>
        <v>#N/A</v>
      </c>
      <c r="I177" s="440" t="e">
        <f t="shared" si="165"/>
        <v>#N/A</v>
      </c>
      <c r="J177" s="440" t="e">
        <f t="shared" si="143"/>
        <v>#N/A</v>
      </c>
      <c r="K177" s="440"/>
      <c r="L177" s="440" t="e">
        <f t="shared" ref="L177:M177" si="166">IF(Z140="",NA(),Z140-$Z140)</f>
        <v>#N/A</v>
      </c>
      <c r="M177" s="440" t="e">
        <f t="shared" si="166"/>
        <v>#N/A</v>
      </c>
      <c r="N177" s="440" t="e">
        <f t="shared" si="145"/>
        <v>#N/A</v>
      </c>
      <c r="O177" s="440"/>
      <c r="P177" s="440" t="e">
        <f t="shared" ref="P177:R177" si="167">IF(AD140="",NA(),AD140-$AD140)</f>
        <v>#N/A</v>
      </c>
      <c r="Q177" s="440" t="e">
        <f t="shared" si="167"/>
        <v>#N/A</v>
      </c>
      <c r="R177" s="440" t="e">
        <f t="shared" si="167"/>
        <v>#N/A</v>
      </c>
      <c r="S177" s="463"/>
      <c r="T177" s="463"/>
      <c r="U177" s="463"/>
      <c r="V177" s="438"/>
      <c r="W177" s="438"/>
      <c r="X177" s="438"/>
      <c r="Y177" s="441"/>
      <c r="Z177" s="441"/>
      <c r="AA177" s="441"/>
      <c r="AB177" s="439"/>
      <c r="AC177" s="441"/>
      <c r="AD177" s="441"/>
      <c r="AE177" s="441"/>
      <c r="AF177" s="441"/>
      <c r="AG177" s="441"/>
      <c r="AH177" s="441"/>
      <c r="AI177" s="441"/>
      <c r="AJ177" s="441"/>
      <c r="AK177" s="441"/>
      <c r="AL177" s="441"/>
      <c r="AM177" s="441"/>
      <c r="AN177" s="441"/>
      <c r="AO177" s="441"/>
      <c r="AP177" s="441"/>
      <c r="AQ177" s="441"/>
      <c r="AR177" s="441"/>
    </row>
    <row r="178" spans="1:57" hidden="1" x14ac:dyDescent="0.25">
      <c r="A178" s="409"/>
      <c r="B178" s="282"/>
      <c r="C178" s="409" t="str">
        <f>+C141</f>
        <v>Entretien-réparation</v>
      </c>
      <c r="D178" s="409"/>
      <c r="E178" s="500">
        <f t="shared" si="139"/>
        <v>0</v>
      </c>
      <c r="F178" s="500" t="e">
        <f t="shared" si="140"/>
        <v>#N/A</v>
      </c>
      <c r="G178" s="500" t="e">
        <f t="shared" si="141"/>
        <v>#N/A</v>
      </c>
      <c r="H178" s="440" t="e">
        <f t="shared" ref="H178:I178" si="168">IF(V141="",NA(),V141-$V141)</f>
        <v>#N/A</v>
      </c>
      <c r="I178" s="440" t="e">
        <f t="shared" si="168"/>
        <v>#N/A</v>
      </c>
      <c r="J178" s="440" t="e">
        <f t="shared" si="143"/>
        <v>#N/A</v>
      </c>
      <c r="K178" s="440"/>
      <c r="L178" s="440" t="e">
        <f t="shared" ref="L178:M178" si="169">IF(Z141="",NA(),Z141-$Z141)</f>
        <v>#N/A</v>
      </c>
      <c r="M178" s="440" t="e">
        <f t="shared" si="169"/>
        <v>#N/A</v>
      </c>
      <c r="N178" s="440" t="e">
        <f t="shared" si="145"/>
        <v>#N/A</v>
      </c>
      <c r="O178" s="440"/>
      <c r="P178" s="440" t="e">
        <f t="shared" ref="P178:R178" si="170">IF(AD141="",NA(),AD141-$AD141)</f>
        <v>#N/A</v>
      </c>
      <c r="Q178" s="440" t="e">
        <f t="shared" si="170"/>
        <v>#N/A</v>
      </c>
      <c r="R178" s="440" t="e">
        <f t="shared" si="170"/>
        <v>#N/A</v>
      </c>
      <c r="S178" s="463"/>
      <c r="T178" s="463"/>
      <c r="U178" s="463"/>
      <c r="V178" s="438"/>
      <c r="W178" s="438"/>
      <c r="X178" s="438"/>
      <c r="Y178" s="441"/>
      <c r="Z178" s="441"/>
      <c r="AA178" s="441"/>
      <c r="AB178" s="439"/>
      <c r="AC178" s="441"/>
      <c r="AD178" s="441"/>
      <c r="AE178" s="441"/>
      <c r="AF178" s="441"/>
      <c r="AG178" s="441"/>
      <c r="AH178" s="441"/>
      <c r="AI178" s="441"/>
      <c r="AJ178" s="441"/>
      <c r="AK178" s="441"/>
      <c r="AL178" s="441"/>
      <c r="AM178" s="441"/>
      <c r="AN178" s="441"/>
      <c r="AO178" s="441"/>
      <c r="AP178" s="441"/>
      <c r="AQ178" s="441"/>
      <c r="AR178" s="441"/>
    </row>
    <row r="179" spans="1:57" hidden="1" x14ac:dyDescent="0.25">
      <c r="A179" s="409"/>
      <c r="B179" s="282"/>
      <c r="C179" s="409" t="str">
        <f>+C142</f>
        <v>Travaux par tiers</v>
      </c>
      <c r="D179" s="409"/>
      <c r="E179" s="500">
        <f t="shared" si="139"/>
        <v>0</v>
      </c>
      <c r="F179" s="500" t="e">
        <f t="shared" si="140"/>
        <v>#N/A</v>
      </c>
      <c r="G179" s="500" t="e">
        <f t="shared" si="141"/>
        <v>#N/A</v>
      </c>
      <c r="H179" s="440" t="e">
        <f t="shared" ref="H179:I179" si="171">IF(V142="",NA(),V142-$V142)</f>
        <v>#N/A</v>
      </c>
      <c r="I179" s="440" t="e">
        <f t="shared" si="171"/>
        <v>#N/A</v>
      </c>
      <c r="J179" s="440" t="e">
        <f t="shared" si="143"/>
        <v>#N/A</v>
      </c>
      <c r="K179" s="440"/>
      <c r="L179" s="440" t="e">
        <f t="shared" ref="L179:M179" si="172">IF(Z142="",NA(),Z142-$Z142)</f>
        <v>#N/A</v>
      </c>
      <c r="M179" s="440" t="e">
        <f t="shared" si="172"/>
        <v>#N/A</v>
      </c>
      <c r="N179" s="440" t="e">
        <f t="shared" si="145"/>
        <v>#N/A</v>
      </c>
      <c r="O179" s="440"/>
      <c r="P179" s="440" t="e">
        <f t="shared" ref="P179:R179" si="173">IF(AD142="",NA(),AD142-$AD142)</f>
        <v>#N/A</v>
      </c>
      <c r="Q179" s="440" t="e">
        <f t="shared" si="173"/>
        <v>#N/A</v>
      </c>
      <c r="R179" s="440" t="e">
        <f t="shared" si="173"/>
        <v>#N/A</v>
      </c>
      <c r="S179" s="463"/>
      <c r="T179" s="463"/>
      <c r="U179" s="463"/>
      <c r="V179" s="438"/>
      <c r="W179" s="438"/>
      <c r="X179" s="438"/>
      <c r="Y179" s="441"/>
      <c r="Z179" s="441"/>
      <c r="AA179" s="441"/>
      <c r="AB179" s="439"/>
      <c r="AC179" s="441"/>
      <c r="AD179" s="441"/>
      <c r="AE179" s="441"/>
      <c r="AF179" s="441"/>
      <c r="AG179" s="441"/>
      <c r="AH179" s="441"/>
      <c r="AI179" s="441"/>
      <c r="AJ179" s="441"/>
      <c r="AK179" s="441"/>
      <c r="AL179" s="441"/>
      <c r="AM179" s="441"/>
      <c r="AN179" s="441"/>
      <c r="AO179" s="441"/>
      <c r="AP179" s="441"/>
      <c r="AQ179" s="441"/>
      <c r="AR179" s="441"/>
    </row>
    <row r="180" spans="1:57" hidden="1" x14ac:dyDescent="0.25">
      <c r="A180" s="409"/>
      <c r="B180" s="282"/>
      <c r="C180" s="409" t="str">
        <f>+C143</f>
        <v>Autres charges (1)</v>
      </c>
      <c r="D180" s="409"/>
      <c r="E180" s="500">
        <f t="shared" si="139"/>
        <v>0</v>
      </c>
      <c r="F180" s="500" t="e">
        <f t="shared" si="140"/>
        <v>#N/A</v>
      </c>
      <c r="G180" s="500" t="e">
        <f t="shared" si="141"/>
        <v>#N/A</v>
      </c>
      <c r="H180" s="440" t="e">
        <f t="shared" ref="H180:I180" si="174">IF(V143="",NA(),V143-$V143)</f>
        <v>#N/A</v>
      </c>
      <c r="I180" s="440" t="e">
        <f t="shared" si="174"/>
        <v>#N/A</v>
      </c>
      <c r="J180" s="440" t="e">
        <f t="shared" si="143"/>
        <v>#N/A</v>
      </c>
      <c r="K180" s="440"/>
      <c r="L180" s="440" t="e">
        <f t="shared" ref="L180:M180" si="175">IF(Z143="",NA(),Z143-$Z143)</f>
        <v>#N/A</v>
      </c>
      <c r="M180" s="440" t="e">
        <f t="shared" si="175"/>
        <v>#N/A</v>
      </c>
      <c r="N180" s="440" t="e">
        <f t="shared" si="145"/>
        <v>#N/A</v>
      </c>
      <c r="O180" s="440"/>
      <c r="P180" s="440" t="e">
        <f t="shared" ref="P180:R180" si="176">IF(AD143="",NA(),AD143-$AD143)</f>
        <v>#N/A</v>
      </c>
      <c r="Q180" s="440" t="e">
        <f t="shared" si="176"/>
        <v>#N/A</v>
      </c>
      <c r="R180" s="440" t="e">
        <f t="shared" si="176"/>
        <v>#N/A</v>
      </c>
      <c r="S180" s="463"/>
      <c r="T180" s="463"/>
      <c r="U180" s="463"/>
      <c r="V180" s="438"/>
      <c r="W180" s="438"/>
      <c r="X180" s="438"/>
      <c r="Y180" s="441"/>
      <c r="Z180" s="441"/>
      <c r="AA180" s="441"/>
      <c r="AB180" s="439"/>
      <c r="AC180" s="441"/>
      <c r="AD180" s="441"/>
      <c r="AE180" s="441"/>
      <c r="AF180" s="441"/>
      <c r="AG180" s="441"/>
      <c r="AH180" s="441"/>
      <c r="AI180" s="441"/>
      <c r="AJ180" s="441"/>
      <c r="AK180" s="441"/>
      <c r="AL180" s="441"/>
      <c r="AM180" s="441"/>
      <c r="AN180" s="441"/>
      <c r="AO180" s="441"/>
      <c r="AP180" s="441"/>
      <c r="AQ180" s="441"/>
      <c r="AR180" s="441"/>
    </row>
    <row r="181" spans="1:57" hidden="1" x14ac:dyDescent="0.25">
      <c r="A181" s="409"/>
      <c r="B181" s="480"/>
      <c r="C181" s="409" t="str">
        <f>+C144</f>
        <v>Rémunération de la MO familiale</v>
      </c>
      <c r="D181" s="409"/>
      <c r="E181" s="500">
        <f t="shared" si="139"/>
        <v>0</v>
      </c>
      <c r="F181" s="500" t="e">
        <f t="shared" si="140"/>
        <v>#N/A</v>
      </c>
      <c r="G181" s="500" t="e">
        <f t="shared" si="141"/>
        <v>#N/A</v>
      </c>
      <c r="H181" s="440" t="e">
        <f t="shared" ref="H181:I181" si="177">IF(V144="",NA(),V144-$V144)</f>
        <v>#N/A</v>
      </c>
      <c r="I181" s="440" t="e">
        <f t="shared" si="177"/>
        <v>#N/A</v>
      </c>
      <c r="J181" s="440" t="e">
        <f t="shared" si="143"/>
        <v>#N/A</v>
      </c>
      <c r="K181" s="440"/>
      <c r="L181" s="440" t="e">
        <f t="shared" ref="L181:M181" si="178">IF(Z144="",NA(),Z144-$Z144)</f>
        <v>#N/A</v>
      </c>
      <c r="M181" s="440" t="e">
        <f t="shared" si="178"/>
        <v>#N/A</v>
      </c>
      <c r="N181" s="440" t="e">
        <f t="shared" si="145"/>
        <v>#N/A</v>
      </c>
      <c r="O181" s="440"/>
      <c r="P181" s="440" t="e">
        <f t="shared" ref="P181:R181" si="179">IF(AD144="",NA(),AD144-$AD144)</f>
        <v>#N/A</v>
      </c>
      <c r="Q181" s="440" t="e">
        <f t="shared" si="179"/>
        <v>#N/A</v>
      </c>
      <c r="R181" s="440" t="e">
        <f t="shared" si="179"/>
        <v>#N/A</v>
      </c>
      <c r="S181" s="463"/>
      <c r="T181" s="463"/>
      <c r="U181" s="463"/>
      <c r="V181" s="438"/>
      <c r="W181" s="438"/>
      <c r="X181" s="438"/>
      <c r="Y181" s="441"/>
      <c r="Z181" s="441"/>
      <c r="AA181" s="441"/>
      <c r="AB181" s="439"/>
      <c r="AC181" s="441"/>
      <c r="AD181" s="441"/>
      <c r="AE181" s="441"/>
      <c r="AF181" s="441"/>
      <c r="AG181" s="441"/>
      <c r="AH181" s="441"/>
      <c r="AI181" s="441"/>
      <c r="AJ181" s="441"/>
      <c r="AK181" s="441"/>
      <c r="AL181" s="441"/>
      <c r="AM181" s="441"/>
      <c r="AN181" s="441"/>
      <c r="AO181" s="441"/>
      <c r="AP181" s="441"/>
      <c r="AQ181" s="441"/>
      <c r="AR181" s="441"/>
    </row>
    <row r="182" spans="1:57" hidden="1" x14ac:dyDescent="0.25">
      <c r="A182" s="409"/>
      <c r="B182" s="409"/>
      <c r="C182" s="409" t="str">
        <f>+C156</f>
        <v>Total des charges</v>
      </c>
      <c r="D182" s="409"/>
      <c r="E182" s="500" t="e">
        <f t="shared" ref="E182:G183" si="180">IF(S156="",NA(),S156-$S156)</f>
        <v>#N/A</v>
      </c>
      <c r="F182" s="500" t="e">
        <f t="shared" si="180"/>
        <v>#N/A</v>
      </c>
      <c r="G182" s="500" t="e">
        <f t="shared" si="180"/>
        <v>#N/A</v>
      </c>
      <c r="H182" s="440" t="e">
        <f t="shared" ref="H182:J183" si="181">IF(V156="",NA(),V156-$V156)</f>
        <v>#N/A</v>
      </c>
      <c r="I182" s="440" t="e">
        <f t="shared" si="181"/>
        <v>#N/A</v>
      </c>
      <c r="J182" s="440" t="e">
        <f t="shared" si="181"/>
        <v>#N/A</v>
      </c>
      <c r="K182" s="440"/>
      <c r="L182" s="440" t="e">
        <f t="shared" ref="L182:M183" si="182">IF(Z156="",NA(),Z156-$Z156)</f>
        <v>#N/A</v>
      </c>
      <c r="M182" s="440" t="e">
        <f t="shared" si="182"/>
        <v>#N/A</v>
      </c>
      <c r="N182" s="440" t="e">
        <f>IF(AB156="",NA(),AB156-$Z156)</f>
        <v>#N/A</v>
      </c>
      <c r="O182" s="440"/>
      <c r="P182" s="440" t="e">
        <f t="shared" ref="P182:R183" si="183">IF(AD156="",NA(),AD156-$AD156)</f>
        <v>#N/A</v>
      </c>
      <c r="Q182" s="440" t="e">
        <f t="shared" si="183"/>
        <v>#N/A</v>
      </c>
      <c r="R182" s="440" t="e">
        <f t="shared" si="183"/>
        <v>#N/A</v>
      </c>
      <c r="S182" s="463"/>
      <c r="T182" s="463"/>
      <c r="U182" s="463"/>
      <c r="V182" s="438"/>
      <c r="W182" s="438"/>
      <c r="X182" s="438"/>
      <c r="Y182" s="441"/>
      <c r="Z182" s="441"/>
      <c r="AA182" s="441"/>
      <c r="AB182" s="439"/>
      <c r="AC182" s="441"/>
      <c r="AD182" s="441"/>
      <c r="AE182" s="441"/>
      <c r="AF182" s="441"/>
      <c r="AG182" s="441"/>
      <c r="AH182" s="441"/>
      <c r="AI182" s="441"/>
      <c r="AJ182" s="441"/>
      <c r="AK182" s="441"/>
      <c r="AL182" s="441"/>
      <c r="AM182" s="441"/>
      <c r="AN182" s="441"/>
      <c r="AO182" s="441"/>
      <c r="AP182" s="441"/>
      <c r="AQ182" s="441"/>
      <c r="AR182" s="441"/>
    </row>
    <row r="183" spans="1:57" hidden="1" x14ac:dyDescent="0.25">
      <c r="A183" s="409"/>
      <c r="B183" s="409"/>
      <c r="C183" s="409" t="str">
        <f>+C157</f>
        <v>Total des charges - aides</v>
      </c>
      <c r="D183" s="409"/>
      <c r="E183" s="500" t="e">
        <f t="shared" si="180"/>
        <v>#N/A</v>
      </c>
      <c r="F183" s="500" t="e">
        <f t="shared" si="180"/>
        <v>#N/A</v>
      </c>
      <c r="G183" s="500" t="e">
        <f t="shared" si="180"/>
        <v>#N/A</v>
      </c>
      <c r="H183" s="440" t="e">
        <f t="shared" si="181"/>
        <v>#N/A</v>
      </c>
      <c r="I183" s="440" t="e">
        <f t="shared" si="181"/>
        <v>#N/A</v>
      </c>
      <c r="J183" s="440" t="e">
        <f t="shared" si="181"/>
        <v>#N/A</v>
      </c>
      <c r="K183" s="440"/>
      <c r="L183" s="440" t="e">
        <f t="shared" si="182"/>
        <v>#N/A</v>
      </c>
      <c r="M183" s="440" t="e">
        <f t="shared" si="182"/>
        <v>#N/A</v>
      </c>
      <c r="N183" s="440" t="e">
        <f>IF(AB157="",NA(),AB157-$Z157)</f>
        <v>#N/A</v>
      </c>
      <c r="O183" s="440"/>
      <c r="P183" s="440" t="e">
        <f t="shared" si="183"/>
        <v>#N/A</v>
      </c>
      <c r="Q183" s="440" t="e">
        <f t="shared" si="183"/>
        <v>#N/A</v>
      </c>
      <c r="R183" s="440" t="e">
        <f t="shared" si="183"/>
        <v>#N/A</v>
      </c>
      <c r="S183" s="439"/>
      <c r="T183" s="439"/>
      <c r="U183" s="439"/>
      <c r="V183" s="438"/>
      <c r="W183" s="438"/>
      <c r="X183" s="438"/>
      <c r="Y183" s="441"/>
      <c r="Z183" s="441"/>
      <c r="AA183" s="441"/>
      <c r="AB183" s="439"/>
      <c r="AC183" s="441"/>
      <c r="AD183" s="441"/>
      <c r="AE183" s="441"/>
      <c r="AF183" s="441"/>
      <c r="AG183" s="441"/>
      <c r="AH183" s="441"/>
      <c r="AI183" s="441"/>
      <c r="AJ183" s="441"/>
      <c r="AK183" s="441"/>
      <c r="AL183" s="441"/>
      <c r="AM183" s="441"/>
      <c r="AN183" s="441"/>
      <c r="AO183" s="441"/>
      <c r="AP183" s="441"/>
      <c r="AQ183" s="441"/>
      <c r="AR183" s="441"/>
    </row>
    <row r="184" spans="1:57" hidden="1" x14ac:dyDescent="0.25">
      <c r="A184" s="409"/>
      <c r="B184" s="409"/>
      <c r="C184" s="409"/>
      <c r="D184" s="409"/>
      <c r="E184" s="438"/>
      <c r="F184" s="438"/>
      <c r="G184" s="438"/>
      <c r="H184" s="438"/>
      <c r="I184" s="438"/>
      <c r="J184" s="438"/>
      <c r="K184" s="438"/>
      <c r="L184" s="438"/>
      <c r="M184" s="438"/>
      <c r="N184" s="438"/>
      <c r="O184" s="438"/>
      <c r="P184" s="438"/>
      <c r="Q184" s="438"/>
      <c r="R184" s="438"/>
      <c r="S184" s="439"/>
      <c r="T184" s="439"/>
      <c r="U184" s="439"/>
      <c r="V184" s="438"/>
      <c r="W184" s="438"/>
      <c r="X184" s="438"/>
      <c r="Y184" s="441"/>
      <c r="Z184" s="441"/>
      <c r="AA184" s="441"/>
      <c r="AB184" s="439"/>
      <c r="AC184" s="441"/>
      <c r="AD184" s="441"/>
      <c r="AE184" s="441"/>
      <c r="AF184" s="441"/>
      <c r="AG184" s="441"/>
      <c r="AH184" s="441"/>
      <c r="AI184" s="441"/>
      <c r="AJ184" s="441"/>
      <c r="AK184" s="441"/>
      <c r="AL184" s="441"/>
      <c r="AM184" s="441"/>
      <c r="AN184" s="441"/>
      <c r="AO184" s="441"/>
      <c r="AP184" s="441"/>
      <c r="AQ184" s="441"/>
      <c r="AR184" s="441"/>
    </row>
    <row r="185" spans="1:57" hidden="1" x14ac:dyDescent="0.25">
      <c r="A185" s="409"/>
      <c r="B185" s="409"/>
      <c r="C185" s="510" t="s">
        <v>33</v>
      </c>
      <c r="D185" s="510"/>
      <c r="E185" s="438">
        <f>I17</f>
        <v>0</v>
      </c>
      <c r="F185" s="438">
        <f>M17</f>
        <v>0</v>
      </c>
      <c r="G185" s="438">
        <f>Q17</f>
        <v>0</v>
      </c>
      <c r="H185" s="438"/>
      <c r="I185" s="237"/>
      <c r="J185" s="510" t="s">
        <v>43</v>
      </c>
      <c r="K185" s="511"/>
      <c r="L185" s="438">
        <f>I17</f>
        <v>0</v>
      </c>
      <c r="M185" s="438">
        <f>M17</f>
        <v>0</v>
      </c>
      <c r="N185" s="438">
        <f>Q17</f>
        <v>0</v>
      </c>
      <c r="O185" s="438"/>
      <c r="P185" s="438"/>
      <c r="Q185" s="438"/>
      <c r="R185" s="438"/>
      <c r="S185" s="439"/>
      <c r="T185" s="439"/>
      <c r="U185" s="439"/>
      <c r="V185" s="438"/>
      <c r="W185" s="438"/>
      <c r="X185" s="438"/>
      <c r="Y185" s="441"/>
      <c r="Z185" s="441"/>
      <c r="AA185" s="441"/>
      <c r="AB185" s="439"/>
      <c r="AC185" s="441"/>
      <c r="AD185" s="441"/>
      <c r="AE185" s="441"/>
      <c r="AF185" s="441"/>
      <c r="AG185" s="441"/>
      <c r="AH185" s="441"/>
      <c r="AI185" s="441"/>
      <c r="AJ185" s="441"/>
      <c r="AK185" s="441"/>
      <c r="AL185" s="441"/>
      <c r="AM185" s="441"/>
      <c r="AN185" s="441"/>
      <c r="AO185" s="441"/>
      <c r="AP185" s="441"/>
      <c r="AQ185" s="441"/>
      <c r="AR185" s="441"/>
    </row>
    <row r="186" spans="1:57" hidden="1" x14ac:dyDescent="0.25">
      <c r="A186" s="409"/>
      <c r="B186" s="409"/>
      <c r="C186" s="511"/>
      <c r="D186" s="511" t="s">
        <v>154</v>
      </c>
      <c r="E186" s="440">
        <f>H156</f>
        <v>0</v>
      </c>
      <c r="F186" s="440">
        <f>I156</f>
        <v>0</v>
      </c>
      <c r="G186" s="440">
        <f>J156</f>
        <v>0</v>
      </c>
      <c r="H186" s="438"/>
      <c r="I186" s="237"/>
      <c r="J186" s="511"/>
      <c r="K186" s="511" t="s">
        <v>154</v>
      </c>
      <c r="L186" s="440">
        <f>IF($U$25&lt;&gt;"ok",0,I69*J21)</f>
        <v>0</v>
      </c>
      <c r="M186" s="440">
        <f>IF($U$25&lt;&gt;"ok",0,M69*N21)</f>
        <v>0</v>
      </c>
      <c r="N186" s="440">
        <f>IF($U$25&lt;&gt;"ok",0,Q69*R21)</f>
        <v>0</v>
      </c>
      <c r="O186" s="438"/>
      <c r="P186" s="438"/>
      <c r="Q186" s="438"/>
      <c r="R186" s="438"/>
      <c r="S186" s="439"/>
      <c r="T186" s="439"/>
      <c r="U186" s="439"/>
      <c r="V186" s="438"/>
      <c r="W186" s="438"/>
      <c r="X186" s="438"/>
      <c r="Y186" s="441"/>
      <c r="Z186" s="441"/>
      <c r="AA186" s="441"/>
      <c r="AB186" s="439"/>
      <c r="AC186" s="441"/>
      <c r="AD186" s="441"/>
      <c r="AE186" s="441"/>
      <c r="AF186" s="441"/>
      <c r="AG186" s="441"/>
      <c r="AH186" s="441"/>
      <c r="AI186" s="441"/>
      <c r="AJ186" s="441"/>
      <c r="AK186" s="441"/>
      <c r="AL186" s="441"/>
      <c r="AM186" s="441"/>
      <c r="AN186" s="441"/>
      <c r="AO186" s="441"/>
      <c r="AP186" s="441"/>
      <c r="AQ186" s="441"/>
      <c r="AR186" s="441"/>
    </row>
    <row r="187" spans="1:57" hidden="1" x14ac:dyDescent="0.25">
      <c r="A187" s="409"/>
      <c r="B187" s="409"/>
      <c r="C187" s="511"/>
      <c r="D187" s="511" t="s">
        <v>95</v>
      </c>
      <c r="E187" s="440">
        <f>L156</f>
        <v>0</v>
      </c>
      <c r="F187" s="440">
        <f>M156</f>
        <v>0</v>
      </c>
      <c r="G187" s="440">
        <f>N156</f>
        <v>0</v>
      </c>
      <c r="H187" s="438"/>
      <c r="I187" s="237"/>
      <c r="J187" s="511"/>
      <c r="K187" s="511" t="s">
        <v>95</v>
      </c>
      <c r="L187" s="440">
        <f>IF($U$25&lt;&gt;"ok",0,I69*J22)</f>
        <v>0</v>
      </c>
      <c r="M187" s="440">
        <f>IF($U$25&lt;&gt;"ok",0,M69*N22)</f>
        <v>0</v>
      </c>
      <c r="N187" s="440">
        <f>IF($U$25&lt;&gt;"ok",0,Q69*R22)</f>
        <v>0</v>
      </c>
      <c r="O187" s="438"/>
      <c r="P187" s="438"/>
      <c r="Q187" s="438"/>
      <c r="R187" s="438"/>
      <c r="S187" s="439"/>
      <c r="T187" s="439"/>
      <c r="U187" s="439"/>
      <c r="V187" s="438"/>
      <c r="W187" s="438"/>
      <c r="X187" s="438"/>
      <c r="Y187" s="441"/>
      <c r="Z187" s="441"/>
      <c r="AA187" s="441"/>
      <c r="AB187" s="439"/>
      <c r="AC187" s="441"/>
      <c r="AD187" s="441"/>
      <c r="AE187" s="441"/>
      <c r="AF187" s="441"/>
      <c r="AG187" s="441"/>
      <c r="AH187" s="441"/>
      <c r="AI187" s="441"/>
      <c r="AJ187" s="441"/>
      <c r="AK187" s="441"/>
      <c r="AL187" s="441"/>
      <c r="AM187" s="441"/>
      <c r="AN187" s="441"/>
      <c r="AO187" s="441"/>
      <c r="AP187" s="441"/>
      <c r="AQ187" s="441"/>
      <c r="AR187" s="441"/>
    </row>
    <row r="188" spans="1:57" s="260" customFormat="1" hidden="1" x14ac:dyDescent="0.25">
      <c r="A188" s="442"/>
      <c r="B188" s="442"/>
      <c r="C188" s="511"/>
      <c r="D188" s="511" t="s">
        <v>96</v>
      </c>
      <c r="E188" s="440">
        <f>P156</f>
        <v>0</v>
      </c>
      <c r="F188" s="440">
        <f>Q156</f>
        <v>0</v>
      </c>
      <c r="G188" s="440">
        <f>R156</f>
        <v>0</v>
      </c>
      <c r="H188" s="438"/>
      <c r="J188" s="512"/>
      <c r="K188" s="511" t="s">
        <v>96</v>
      </c>
      <c r="L188" s="440">
        <f>IF($U$25&lt;&gt;"ok",0,I69*J23)</f>
        <v>0</v>
      </c>
      <c r="M188" s="440">
        <f>IF($U$25&lt;&gt;"ok",0,M69*N23)</f>
        <v>0</v>
      </c>
      <c r="N188" s="440">
        <f>IF($U$25&lt;&gt;"ok",0,Q69*R23)</f>
        <v>0</v>
      </c>
      <c r="O188" s="438"/>
      <c r="P188" s="438"/>
      <c r="Q188" s="438"/>
      <c r="R188" s="438"/>
      <c r="S188" s="452"/>
      <c r="T188" s="452"/>
      <c r="U188" s="452"/>
      <c r="V188" s="442"/>
      <c r="W188" s="442"/>
      <c r="X188" s="267"/>
      <c r="Y188" s="446"/>
      <c r="Z188" s="446"/>
      <c r="AA188" s="446"/>
      <c r="AB188" s="507"/>
      <c r="AC188" s="446"/>
      <c r="AD188" s="446"/>
      <c r="AE188" s="446"/>
      <c r="AF188" s="446"/>
      <c r="AG188" s="446"/>
      <c r="AH188" s="446"/>
      <c r="AI188" s="446"/>
      <c r="AJ188" s="446"/>
      <c r="AK188" s="446"/>
      <c r="AL188" s="446"/>
      <c r="AM188" s="446"/>
      <c r="AN188" s="446"/>
      <c r="AO188" s="446"/>
      <c r="AP188" s="446"/>
      <c r="AQ188" s="446"/>
      <c r="AR188" s="446"/>
      <c r="AS188" s="237"/>
      <c r="AT188" s="237"/>
      <c r="AU188" s="237"/>
      <c r="AV188" s="237"/>
      <c r="AW188" s="237"/>
      <c r="AX188" s="237"/>
      <c r="AY188" s="237"/>
      <c r="AZ188" s="237"/>
      <c r="BA188" s="237"/>
      <c r="BB188" s="237"/>
      <c r="BC188" s="237"/>
      <c r="BD188" s="237"/>
      <c r="BE188" s="237"/>
    </row>
    <row r="189" spans="1:57" s="260" customFormat="1" hidden="1" x14ac:dyDescent="0.25">
      <c r="A189" s="442"/>
      <c r="B189" s="442"/>
      <c r="C189" s="511"/>
      <c r="D189" s="511"/>
      <c r="E189" s="440">
        <f>MAX($E$186:$G$188)</f>
        <v>0</v>
      </c>
      <c r="F189" s="440">
        <f>MAX($E$186:$G$188)</f>
        <v>0</v>
      </c>
      <c r="G189" s="440">
        <f>MAX($E$186:$G$188)</f>
        <v>0</v>
      </c>
      <c r="H189" s="438"/>
      <c r="J189" s="511"/>
      <c r="K189" s="513"/>
      <c r="L189" s="440"/>
      <c r="M189" s="440"/>
      <c r="N189" s="440"/>
      <c r="O189" s="438"/>
      <c r="P189" s="438"/>
      <c r="Q189" s="438"/>
      <c r="R189" s="438"/>
      <c r="S189" s="452"/>
      <c r="T189" s="452"/>
      <c r="U189" s="452"/>
      <c r="V189" s="442"/>
      <c r="W189" s="442"/>
      <c r="X189" s="267"/>
      <c r="Y189" s="446"/>
      <c r="Z189" s="446"/>
      <c r="AA189" s="446"/>
      <c r="AB189" s="439"/>
      <c r="AC189" s="441"/>
      <c r="AD189" s="441"/>
      <c r="AE189" s="441"/>
      <c r="AF189" s="441"/>
      <c r="AG189" s="282"/>
      <c r="AH189" s="282"/>
      <c r="AI189" s="282"/>
      <c r="AJ189" s="282"/>
      <c r="AK189" s="282"/>
      <c r="AL189" s="282"/>
      <c r="AM189" s="237"/>
      <c r="AN189" s="237"/>
      <c r="AO189" s="237"/>
      <c r="AP189" s="237"/>
      <c r="AQ189" s="237"/>
      <c r="AR189" s="237"/>
      <c r="AS189" s="237"/>
      <c r="AT189" s="237"/>
      <c r="AU189" s="237"/>
      <c r="AV189" s="237"/>
      <c r="AW189" s="237"/>
      <c r="AX189" s="237"/>
      <c r="AY189" s="237"/>
      <c r="AZ189" s="237"/>
      <c r="BA189" s="237"/>
      <c r="BB189" s="237"/>
      <c r="BC189" s="237"/>
      <c r="BD189" s="237"/>
      <c r="BE189" s="237"/>
    </row>
    <row r="190" spans="1:57" hidden="1" x14ac:dyDescent="0.25">
      <c r="A190" s="409"/>
      <c r="B190" s="409"/>
      <c r="C190" s="511"/>
      <c r="D190" s="511"/>
      <c r="E190" s="438"/>
      <c r="F190" s="438"/>
      <c r="G190" s="438"/>
      <c r="H190" s="438"/>
      <c r="I190" s="237"/>
      <c r="J190" s="511"/>
      <c r="K190" s="511"/>
      <c r="L190" s="438"/>
      <c r="M190" s="438"/>
      <c r="N190" s="438"/>
      <c r="O190" s="438"/>
      <c r="P190" s="438"/>
      <c r="Q190" s="438"/>
      <c r="R190" s="438"/>
      <c r="S190" s="439"/>
      <c r="T190" s="439"/>
      <c r="U190" s="439"/>
      <c r="V190" s="438"/>
      <c r="W190" s="438"/>
      <c r="X190" s="438"/>
      <c r="Y190" s="441"/>
      <c r="Z190" s="441"/>
      <c r="AA190" s="441"/>
      <c r="AB190" s="439"/>
      <c r="AC190" s="441"/>
      <c r="AD190" s="441"/>
      <c r="AE190" s="441"/>
      <c r="AF190" s="441"/>
      <c r="AG190" s="282"/>
      <c r="AH190" s="282"/>
      <c r="AI190" s="282"/>
      <c r="AJ190" s="282"/>
      <c r="AK190" s="282"/>
      <c r="AL190" s="282"/>
    </row>
    <row r="191" spans="1:57" hidden="1" x14ac:dyDescent="0.25">
      <c r="A191" s="409"/>
      <c r="B191" s="409"/>
      <c r="C191" s="510" t="s">
        <v>32</v>
      </c>
      <c r="D191" s="511"/>
      <c r="E191" s="438">
        <f>I17</f>
        <v>0</v>
      </c>
      <c r="F191" s="438">
        <f>M17</f>
        <v>0</v>
      </c>
      <c r="G191" s="438">
        <f>Q17</f>
        <v>0</v>
      </c>
      <c r="H191" s="438"/>
      <c r="I191" s="237"/>
      <c r="J191" s="510" t="s">
        <v>53</v>
      </c>
      <c r="K191" s="511"/>
      <c r="L191" s="438">
        <f>I17</f>
        <v>0</v>
      </c>
      <c r="M191" s="438">
        <f>M17</f>
        <v>0</v>
      </c>
      <c r="N191" s="438">
        <f>Q17</f>
        <v>0</v>
      </c>
      <c r="O191" s="438"/>
      <c r="P191" s="438"/>
      <c r="Q191" s="438"/>
      <c r="R191" s="438"/>
      <c r="S191" s="439"/>
      <c r="T191" s="439"/>
      <c r="U191" s="439"/>
      <c r="V191" s="438"/>
      <c r="W191" s="438"/>
      <c r="X191" s="438"/>
      <c r="Y191" s="441"/>
      <c r="Z191" s="441"/>
      <c r="AA191" s="441"/>
      <c r="AB191" s="439"/>
      <c r="AC191" s="441"/>
      <c r="AD191" s="441"/>
      <c r="AE191" s="441"/>
      <c r="AF191" s="441"/>
      <c r="AG191" s="282"/>
      <c r="AH191" s="282"/>
      <c r="AI191" s="282"/>
      <c r="AJ191" s="282"/>
      <c r="AK191" s="282"/>
      <c r="AL191" s="282"/>
    </row>
    <row r="192" spans="1:57" hidden="1" x14ac:dyDescent="0.25">
      <c r="A192" s="409"/>
      <c r="B192" s="409"/>
      <c r="C192" s="511"/>
      <c r="D192" s="511" t="s">
        <v>154</v>
      </c>
      <c r="E192" s="440">
        <f>H157</f>
        <v>0</v>
      </c>
      <c r="F192" s="440">
        <f>I157</f>
        <v>0</v>
      </c>
      <c r="G192" s="440">
        <f>J157</f>
        <v>0</v>
      </c>
      <c r="H192" s="438"/>
      <c r="I192" s="237"/>
      <c r="J192" s="511"/>
      <c r="K192" s="511" t="s">
        <v>154</v>
      </c>
      <c r="L192" s="440">
        <f>IF($U$25&lt;&gt;"ok",0,I69*$J$21+J70-E156)</f>
        <v>0</v>
      </c>
      <c r="M192" s="440">
        <f>IF($U$25&lt;&gt;"ok",0,M69*$N$21+N70-F156)</f>
        <v>0</v>
      </c>
      <c r="N192" s="440">
        <f>IF($U$25&lt;&gt;"ok",0,Q69*$R$21+R70-G156)</f>
        <v>0</v>
      </c>
      <c r="O192" s="438"/>
      <c r="P192" s="438"/>
      <c r="Q192" s="438"/>
      <c r="R192" s="438"/>
      <c r="S192" s="439"/>
      <c r="T192" s="439"/>
      <c r="U192" s="439"/>
      <c r="V192" s="438"/>
      <c r="W192" s="438"/>
      <c r="X192" s="438"/>
      <c r="Y192" s="441"/>
      <c r="Z192" s="441"/>
      <c r="AA192" s="441"/>
      <c r="AB192" s="439"/>
      <c r="AC192" s="441"/>
      <c r="AD192" s="441"/>
      <c r="AE192" s="441"/>
      <c r="AF192" s="441"/>
      <c r="AG192" s="282"/>
      <c r="AH192" s="282"/>
      <c r="AI192" s="282"/>
      <c r="AJ192" s="282"/>
      <c r="AK192" s="282"/>
      <c r="AL192" s="282"/>
    </row>
    <row r="193" spans="1:38" hidden="1" x14ac:dyDescent="0.25">
      <c r="A193" s="409"/>
      <c r="B193" s="409"/>
      <c r="C193" s="511"/>
      <c r="D193" s="511" t="s">
        <v>95</v>
      </c>
      <c r="E193" s="440">
        <f>L157</f>
        <v>0</v>
      </c>
      <c r="F193" s="440">
        <f>M157</f>
        <v>0</v>
      </c>
      <c r="G193" s="440">
        <f>N157</f>
        <v>0</v>
      </c>
      <c r="H193" s="438"/>
      <c r="I193" s="237"/>
      <c r="J193" s="511"/>
      <c r="K193" s="511" t="s">
        <v>95</v>
      </c>
      <c r="L193" s="440">
        <f>IF(OR($J$22="",$J$22=0),0,IF($U$25&lt;&gt;"ok",0,I69*$J$22+J70-E156))</f>
        <v>0</v>
      </c>
      <c r="M193" s="440">
        <f>IF(OR($N$22="",$N$22=0),0,IF($U$25&lt;&gt;"ok",0,M69*$N$22+N70-F156))</f>
        <v>0</v>
      </c>
      <c r="N193" s="440">
        <f>IF(OR($R$22="",$R$22=0),0,IF($U$25&lt;&gt;"ok",0,Q69*$R$22+R70-G156))</f>
        <v>0</v>
      </c>
      <c r="O193" s="438"/>
      <c r="P193" s="438"/>
      <c r="Q193" s="438"/>
      <c r="R193" s="438"/>
      <c r="S193" s="439"/>
      <c r="T193" s="439"/>
      <c r="U193" s="439"/>
      <c r="V193" s="438"/>
      <c r="W193" s="438"/>
      <c r="X193" s="438"/>
      <c r="Y193" s="441"/>
      <c r="Z193" s="441"/>
      <c r="AA193" s="441"/>
      <c r="AB193" s="439"/>
      <c r="AC193" s="441"/>
      <c r="AD193" s="441"/>
      <c r="AE193" s="441"/>
      <c r="AF193" s="441"/>
      <c r="AG193" s="282"/>
      <c r="AH193" s="282"/>
      <c r="AI193" s="282"/>
      <c r="AJ193" s="282"/>
      <c r="AK193" s="282"/>
      <c r="AL193" s="282"/>
    </row>
    <row r="194" spans="1:38" hidden="1" x14ac:dyDescent="0.25">
      <c r="A194" s="409"/>
      <c r="B194" s="409"/>
      <c r="C194" s="511"/>
      <c r="D194" s="511" t="s">
        <v>96</v>
      </c>
      <c r="E194" s="440">
        <f>P157</f>
        <v>0</v>
      </c>
      <c r="F194" s="440">
        <f>Q157</f>
        <v>0</v>
      </c>
      <c r="G194" s="440">
        <f>R157</f>
        <v>0</v>
      </c>
      <c r="H194" s="438"/>
      <c r="I194" s="237"/>
      <c r="J194" s="511"/>
      <c r="K194" s="511" t="s">
        <v>96</v>
      </c>
      <c r="L194" s="440">
        <f>IF(OR($J$23="",$J$23=0),0,IF($U$25&lt;&gt;"ok",0,I69*$J$23+J70-E156))</f>
        <v>0</v>
      </c>
      <c r="M194" s="440">
        <f>IF(OR($N$23="",$N$23=0),0,IF($U$25&lt;&gt;"ok",0,M69*$N$23+N70-F156))</f>
        <v>0</v>
      </c>
      <c r="N194" s="440">
        <f>IF(OR($R$23="",$R$23=0),0,IF($U$25&lt;&gt;"ok",0,Q69*$R$23+R70-G156))</f>
        <v>0</v>
      </c>
      <c r="O194" s="438"/>
      <c r="P194" s="438"/>
      <c r="Q194" s="438"/>
      <c r="R194" s="438"/>
      <c r="S194" s="439"/>
      <c r="T194" s="439"/>
      <c r="U194" s="439"/>
      <c r="V194" s="438"/>
      <c r="W194" s="438"/>
      <c r="X194" s="438"/>
      <c r="Y194" s="441"/>
      <c r="Z194" s="441"/>
      <c r="AA194" s="441"/>
      <c r="AB194" s="439"/>
      <c r="AC194" s="441"/>
      <c r="AD194" s="441"/>
      <c r="AE194" s="441"/>
      <c r="AF194" s="441"/>
      <c r="AG194" s="282"/>
      <c r="AH194" s="282"/>
      <c r="AI194" s="282"/>
      <c r="AJ194" s="282"/>
      <c r="AK194" s="282"/>
      <c r="AL194" s="282"/>
    </row>
    <row r="195" spans="1:38" hidden="1" x14ac:dyDescent="0.25">
      <c r="A195" s="409"/>
      <c r="B195" s="409"/>
      <c r="C195" s="409"/>
      <c r="D195" s="409"/>
      <c r="E195" s="440">
        <f>MAX($E$186:$G$188)</f>
        <v>0</v>
      </c>
      <c r="F195" s="440">
        <f>MAX($E$186:$G$188)</f>
        <v>0</v>
      </c>
      <c r="G195" s="440">
        <f>MAX($E$186:$G$188)</f>
        <v>0</v>
      </c>
      <c r="H195" s="438"/>
      <c r="I195" s="438"/>
      <c r="J195" s="438"/>
      <c r="K195" s="438"/>
      <c r="L195" s="438"/>
      <c r="M195" s="438"/>
      <c r="N195" s="438"/>
      <c r="O195" s="438"/>
      <c r="P195" s="438"/>
      <c r="Q195" s="438"/>
      <c r="R195" s="438"/>
      <c r="S195" s="439"/>
      <c r="T195" s="439"/>
      <c r="U195" s="439"/>
      <c r="V195" s="438"/>
      <c r="W195" s="438"/>
      <c r="X195" s="438"/>
      <c r="Y195" s="441"/>
      <c r="Z195" s="441"/>
      <c r="AA195" s="441"/>
      <c r="AB195" s="439"/>
      <c r="AC195" s="441"/>
      <c r="AD195" s="441"/>
      <c r="AE195" s="441"/>
      <c r="AF195" s="441"/>
      <c r="AG195" s="282"/>
      <c r="AH195" s="282"/>
      <c r="AI195" s="282"/>
      <c r="AJ195" s="282"/>
      <c r="AK195" s="282"/>
      <c r="AL195" s="282"/>
    </row>
    <row r="196" spans="1:38" hidden="1" x14ac:dyDescent="0.25">
      <c r="A196" s="409"/>
      <c r="B196" s="409"/>
      <c r="C196" s="409"/>
      <c r="D196" s="409"/>
      <c r="E196" s="409"/>
      <c r="F196" s="438"/>
      <c r="G196" s="438"/>
      <c r="H196" s="438"/>
      <c r="I196" s="438"/>
      <c r="J196" s="438"/>
      <c r="K196" s="438"/>
      <c r="L196" s="438"/>
      <c r="M196" s="438"/>
      <c r="N196" s="438"/>
      <c r="O196" s="438"/>
      <c r="P196" s="438"/>
      <c r="Q196" s="438"/>
      <c r="R196" s="438"/>
      <c r="S196" s="439"/>
      <c r="T196" s="439"/>
      <c r="U196" s="439"/>
      <c r="V196" s="438"/>
      <c r="W196" s="438"/>
      <c r="X196" s="438"/>
      <c r="Y196" s="441"/>
      <c r="Z196" s="441"/>
      <c r="AA196" s="441"/>
      <c r="AB196" s="439"/>
      <c r="AC196" s="441"/>
      <c r="AD196" s="441"/>
      <c r="AE196" s="441"/>
      <c r="AF196" s="441"/>
      <c r="AG196" s="282"/>
      <c r="AH196" s="282"/>
      <c r="AI196" s="282"/>
      <c r="AJ196" s="282"/>
      <c r="AK196" s="282"/>
      <c r="AL196" s="282"/>
    </row>
    <row r="197" spans="1:38" hidden="1" x14ac:dyDescent="0.25">
      <c r="A197" s="409"/>
      <c r="B197" s="409"/>
      <c r="C197" s="409"/>
      <c r="D197" s="409"/>
      <c r="E197" s="409"/>
      <c r="F197" s="438"/>
      <c r="G197" s="438"/>
      <c r="H197" s="438"/>
      <c r="I197" s="438"/>
      <c r="J197" s="438"/>
      <c r="K197" s="438"/>
      <c r="L197" s="438"/>
      <c r="M197" s="438"/>
      <c r="N197" s="438"/>
      <c r="O197" s="438"/>
      <c r="P197" s="438"/>
      <c r="Q197" s="438"/>
      <c r="R197" s="438"/>
      <c r="S197" s="439"/>
      <c r="T197" s="439"/>
      <c r="U197" s="439"/>
      <c r="V197" s="438"/>
      <c r="W197" s="438"/>
      <c r="X197" s="438"/>
      <c r="Y197" s="441"/>
      <c r="Z197" s="441"/>
      <c r="AA197" s="441"/>
      <c r="AB197" s="439"/>
      <c r="AC197" s="441"/>
      <c r="AD197" s="441"/>
      <c r="AE197" s="441"/>
      <c r="AF197" s="441"/>
      <c r="AG197" s="282"/>
      <c r="AH197" s="282"/>
      <c r="AI197" s="282"/>
      <c r="AJ197" s="282"/>
      <c r="AK197" s="282"/>
      <c r="AL197" s="282"/>
    </row>
    <row r="198" spans="1:38" hidden="1" x14ac:dyDescent="0.25">
      <c r="A198" s="409"/>
      <c r="B198" s="409"/>
      <c r="C198" s="409"/>
      <c r="D198" s="409"/>
      <c r="E198" s="409" t="s">
        <v>54</v>
      </c>
      <c r="F198" s="514" t="s">
        <v>57</v>
      </c>
      <c r="G198" s="514" t="s">
        <v>159</v>
      </c>
      <c r="H198" s="438"/>
      <c r="I198" s="438"/>
      <c r="J198" s="438"/>
      <c r="K198" s="438"/>
      <c r="L198" s="438"/>
      <c r="M198" s="438"/>
      <c r="N198" s="438"/>
      <c r="O198" s="438"/>
      <c r="P198" s="438"/>
      <c r="Q198" s="438"/>
      <c r="R198" s="438"/>
      <c r="S198" s="439"/>
      <c r="T198" s="439"/>
      <c r="U198" s="439"/>
      <c r="V198" s="438"/>
      <c r="W198" s="438"/>
      <c r="X198" s="438"/>
      <c r="Y198" s="441"/>
      <c r="Z198" s="441"/>
      <c r="AA198" s="441"/>
      <c r="AB198" s="439"/>
      <c r="AC198" s="441"/>
      <c r="AD198" s="441"/>
      <c r="AE198" s="441"/>
      <c r="AF198" s="441"/>
      <c r="AG198" s="282"/>
      <c r="AH198" s="282"/>
      <c r="AI198" s="282"/>
      <c r="AJ198" s="282"/>
      <c r="AK198" s="282"/>
      <c r="AL198" s="282"/>
    </row>
    <row r="199" spans="1:38" ht="18.75" hidden="1" x14ac:dyDescent="0.3">
      <c r="A199" s="409"/>
      <c r="B199" s="409"/>
      <c r="C199" s="409" t="s">
        <v>55</v>
      </c>
      <c r="D199" s="409"/>
      <c r="E199" s="515" t="str">
        <f>IF(AND(X57&lt;&gt;0,X60&lt;&gt;0,X61&lt;&gt;0,X62&lt;&gt;0,X67&lt;&gt;0,X57&lt;&gt;"",X60&lt;&gt;"",X61&lt;&gt;"",X62&lt;&gt;"",X67&lt;&gt;""),"Cout de production* (€/T)","Cout de production partiel* (€/T)")</f>
        <v>Cout de production partiel* (€/T)</v>
      </c>
      <c r="F199" s="516" t="str">
        <f>CONCATENATE("",AP132,AP133,AP135,AP136,AP137,AP138,AP139,AP153,AP140,AP146,AP141,AP142,AP145,AP147,IF(AH153="oui","), ",""),AP148,AP149,AP144,AP150,AP151,AP152)</f>
        <v/>
      </c>
      <c r="G199" s="514" t="str">
        <f>IF(AND(AR145="",AR146="",AR147="",AR149="",AR150="",AR151="",AR152=""),"",CONCATENATE("(1) Autres charges = ",AR153,AR146,AR145,AR147,IF(AH153="oui","), ",""),AR148,AR149,AR150,AR151,AR152))</f>
        <v/>
      </c>
      <c r="H199" s="514"/>
      <c r="I199" s="438"/>
      <c r="J199" s="438"/>
      <c r="K199" s="438"/>
      <c r="L199" s="438"/>
      <c r="M199" s="438"/>
      <c r="N199" s="438"/>
      <c r="O199" s="438"/>
      <c r="P199" s="438"/>
      <c r="Q199" s="438"/>
      <c r="R199" s="438"/>
      <c r="S199" s="439"/>
      <c r="T199" s="439"/>
      <c r="U199" s="439"/>
      <c r="V199" s="438"/>
      <c r="W199" s="438"/>
      <c r="X199" s="438"/>
      <c r="Y199" s="438"/>
      <c r="Z199" s="438"/>
      <c r="AA199" s="438"/>
      <c r="AE199" s="39"/>
      <c r="AF199" s="39"/>
    </row>
    <row r="200" spans="1:38" ht="18.75" hidden="1" x14ac:dyDescent="0.3">
      <c r="A200" s="409"/>
      <c r="B200" s="409"/>
      <c r="C200" s="409" t="s">
        <v>56</v>
      </c>
      <c r="D200" s="409"/>
      <c r="E200" s="515" t="str">
        <f>IF(AND(X57&lt;&gt;0,X60&lt;&gt;0,X61&lt;&gt;0,X62&lt;&gt;0,X67&lt;&gt;0,X57&lt;&gt;"",X60&lt;&gt;"",X61&lt;&gt;"",X62&lt;&gt;"",X67&lt;&gt;""),"Seuil de commercialisation* (€/T)","Seuil de commercialisation partiel* (€/T)")</f>
        <v>Seuil de commercialisation partiel* (€/T)</v>
      </c>
      <c r="F200" s="39" t="str">
        <f>CONCATENATE("Rdt : ",H129," T/ha")</f>
        <v>Rdt :  T/ha</v>
      </c>
      <c r="G200" s="438"/>
      <c r="H200" s="438"/>
      <c r="I200" s="438"/>
      <c r="J200" s="516" t="str">
        <f>CONCATENATE("* Charges prises en compte : ",IF(AND('RESULTATS Synthèse'!F19&lt;&gt;0,'RESULTATS Synthèse'!F19&lt;&gt;""),"semences, ",""),IF(AND('RESULTATS Synthèse'!F20&lt;&gt;0,'RESULTATS Synthèse'!F20&lt;&gt;""),"engrais, ",""),IF(AND('RESULTATS Synthèse'!F22&lt;&gt;0,'RESULTATS Synthèse'!F22&lt;&gt;""),"phytos, ",""),IF(AND('RESULTATS Synthèse'!F23&lt;&gt;0,'RESULTATS Synthèse'!F23&lt;&gt;""),"irrigation, ",""),IF(AND('RESULTATS Synthèse'!F25&lt;&gt;0,'RESULTATS Synthèse'!F25&lt;&gt;""),"séchage, ",""),IF(AND('RESULTATS Synthèse'!F27&lt;&gt;0,'RESULTATS Synthèse'!F27&lt;&gt;""),"carburant, ",""),IF(AND('RESULTATS Synthèse'!F28&lt;&gt;0,'RESULTATS Synthèse'!F28&lt;&gt;""),"entretien-réparation, ",""),IF(AND('RESULTATS Synthèse'!F29&lt;&gt;0,'RESULTATS Synthèse'!F29&lt;&gt;""),"travaux par tiers, ",""),IF(AND(X56&lt;&gt;0,X56&lt;&gt;""),"location, ",""),IF(AND(X57&lt;&gt;0,X57&lt;&gt;""),"amort/remb cap, ",""),IF(AND(X58&lt;&gt;0,X58&lt;&gt;""),"F. Fin, ",""),IF(AND(X59&lt;&gt;0,X59&lt;&gt;""),"salaire et ch soc, ",""),IF(AND(X60&lt;&gt;0,X60&lt;&gt;""),"cotis soc expl, ",""),IF(AND(X61&lt;&gt;0,X61&lt;&gt;""),"fermage, ",""),IF(AND(X63&lt;&gt;0,X63&lt;&gt;""),"ACF, ",""),IF(AND('RESULTATS Synthèse'!F31&lt;&gt;0,'RESULTATS Synthèse'!F31&lt;&gt;""),"rem MO fam, ",""))</f>
        <v xml:space="preserve">* Charges prises en compte : </v>
      </c>
      <c r="K200" s="438"/>
      <c r="L200" s="438"/>
      <c r="M200" s="438"/>
      <c r="N200" s="438"/>
      <c r="O200" s="438"/>
      <c r="P200" s="438"/>
      <c r="Q200" s="438"/>
      <c r="R200" s="438"/>
      <c r="S200" s="439"/>
      <c r="T200" s="439" t="s">
        <v>150</v>
      </c>
      <c r="U200" s="439"/>
      <c r="V200" s="438"/>
      <c r="W200" s="438"/>
      <c r="X200" s="438"/>
      <c r="Y200" s="438"/>
      <c r="Z200" s="438"/>
      <c r="AA200" s="438"/>
      <c r="AE200" s="39"/>
      <c r="AF200" s="39"/>
    </row>
    <row r="201" spans="1:38" hidden="1" x14ac:dyDescent="0.25">
      <c r="A201" s="409"/>
      <c r="B201" s="409"/>
      <c r="C201" s="409" t="s">
        <v>58</v>
      </c>
      <c r="D201" s="409"/>
      <c r="E201" s="409"/>
      <c r="F201" s="39" t="str">
        <f>IF(I129="","",CONCATENATE(,I129," T/ha"))</f>
        <v/>
      </c>
      <c r="G201" s="438"/>
      <c r="H201" s="438"/>
      <c r="I201" s="438"/>
      <c r="J201" s="516" t="str">
        <f>CONCATENATE("* Charges prises en compte : ",IF(AND('RESULTATS Synthèse'!F19&lt;&gt;0,'RESULTATS Synthèse'!F19&lt;&gt;""),"semences, ",""),IF(AND('RESULTATS Synthèse'!F20&lt;&gt;0,'RESULTATS Synthèse'!F20&lt;&gt;""),"engrais, ",""),IF(AND('RESULTATS Synthèse'!F22&lt;&gt;0,'RESULTATS Synthèse'!F22&lt;&gt;""),"phytos, ",""),IF(AND('RESULTATS Synthèse'!F23&lt;&gt;0,'RESULTATS Synthèse'!F23&lt;&gt;""),"irrigation, ",""),IF(AND('RESULTATS Synthèse'!F25&lt;&gt;0,'RESULTATS Synthèse'!F25&lt;&gt;""),"séchage, ",""),IF(AND('RESULTATS Synthèse'!F27&lt;&gt;0,'RESULTATS Synthèse'!F27&lt;&gt;""),"carburant, ",""),IF(AND('RESULTATS Synthèse'!F28&lt;&gt;0,'RESULTATS Synthèse'!F28&lt;&gt;""),"entretien-réparation, ",""),IF(AND('RESULTATS Synthèse'!F29&lt;&gt;0,'RESULTATS Synthèse'!F29&lt;&gt;""),"travaux par tiers, ",""),IF(AND(X56&lt;&gt;0,X56&lt;&gt;""),"location, ",""),IF(AND(X57&lt;&gt;0,X57&lt;&gt;""),"amort/remb cap, ",""),IF(AND(X58&lt;&gt;0,X58&lt;&gt;""),"F. Fin, ",""),IF(AND(X59&lt;&gt;0,X59&lt;&gt;""),"salaire et ch soc, ",""),IF(AND(X60&lt;&gt;0,X60&lt;&gt;""),"cotis soc expl, ",""),IF(AND(X61&lt;&gt;0,X61&lt;&gt;""),"fermage, ",""),IF(AND(X63&lt;&gt;0,X63&lt;&gt;""),"ACF, ",""),IF(AND('RESULTATS Synthèse'!F31&lt;&gt;0,'RESULTATS Synthèse'!F31&lt;&gt;""),"rem MO fam, ",""))</f>
        <v xml:space="preserve">* Charges prises en compte : </v>
      </c>
      <c r="K201" s="438"/>
      <c r="L201" s="438"/>
      <c r="M201" s="438"/>
      <c r="N201" s="438"/>
      <c r="O201" s="438"/>
      <c r="P201" s="438"/>
      <c r="Q201" s="438"/>
      <c r="R201" s="438"/>
      <c r="S201" s="439"/>
      <c r="T201" s="439"/>
      <c r="U201" s="439"/>
      <c r="V201" s="438"/>
      <c r="W201" s="438"/>
      <c r="X201" s="438"/>
      <c r="Y201" s="438"/>
      <c r="Z201" s="438"/>
      <c r="AA201" s="438"/>
      <c r="AE201" s="39"/>
      <c r="AF201" s="39"/>
    </row>
    <row r="202" spans="1:38" ht="15.75" hidden="1" thickBot="1" x14ac:dyDescent="0.3">
      <c r="A202" s="409"/>
      <c r="B202" s="409"/>
      <c r="C202" s="409"/>
      <c r="D202" s="409"/>
      <c r="E202" s="409"/>
      <c r="F202" s="39" t="str">
        <f>IF(J129="","",CONCATENATE(J129," T/ha"))</f>
        <v/>
      </c>
      <c r="G202" s="438"/>
      <c r="H202" s="438"/>
      <c r="I202" s="438"/>
      <c r="J202" s="517" t="str">
        <f>CONCATENATE("* Charges prises en compte : ",IF(AND('RESULTATS Synthèse'!F19&lt;&gt;0,'RESULTATS Synthèse'!F19&lt;&gt;""),"semences, ",""),IF(AND('RESULTATS Synthèse'!F20&lt;&gt;0,'RESULTATS Synthèse'!F20&lt;&gt;""),"engrais, ",""),IF(AND('RESULTATS Synthèse'!F22&lt;&gt;0,'RESULTATS Synthèse'!F22&lt;&gt;""),"phytos, ",""),IF(AND('RESULTATS Synthèse'!F23&lt;&gt;0,'RESULTATS Synthèse'!F23&lt;&gt;""),"irrigation, ",""),IF(AND('RESULTATS Synthèse'!F25&lt;&gt;0,'RESULTATS Synthèse'!F25&lt;&gt;""),"séchage, ",""),IF(AND('RESULTATS Synthèse'!F27&lt;&gt;0,'RESULTATS Synthèse'!F27&lt;&gt;""),"carburant, ",""),IF(AND('RESULTATS Synthèse'!F28&lt;&gt;0,'RESULTATS Synthèse'!F28&lt;&gt;""),"entretien-réparation, ",""),IF(AND('RESULTATS Synthèse'!F29&lt;&gt;0,'RESULTATS Synthèse'!F29&lt;&gt;""),"travaux par tiers, ",""),IF(SUM(X56:X58)&lt;&gt;0,"mécanisation, ",""),IF(AND(X59&lt;&gt;0,X59&lt;&gt;""),"salaire et ch soc, ",""),IF(AND(X60&lt;&gt;0,X60&lt;&gt;""),"cotis soc expl, ",""),IF(AND(X61&lt;&gt;0,X61&lt;&gt;""),"fermage, ",""),IF(AND(X63&lt;&gt;0,X63&lt;&gt;""),"ACF, ",""),IF(AND('RESULTATS Synthèse'!F31&lt;&gt;0,'RESULTATS Synthèse'!F31&lt;&gt;""),"rem MO fam, ",""),"(manque : ",IF(AND('RESULTATS Synthèse'!F19&lt;&gt;0,'RESULTATS Synthèse'!F19&lt;&gt;""),"","semences, "),IF(AND('RESULTATS Synthèse'!F20&lt;&gt;0,'RESULTATS Synthèse'!F20&lt;&gt;""),"","engrais, "),IF(AND('RESULTATS Synthèse'!F22&lt;&gt;0,'RESULTATS Synthèse'!F22&lt;&gt;""),"","phytos, "),IF(AND('RESULTATS Synthèse'!F23&lt;&gt;0,'RESULTATS Synthèse'!F23&lt;&gt;""),"","irrigation, "),IF(AND('RESULTATS Synthèse'!F25&lt;&gt;0,'RESULTATS Synthèse'!F25&lt;&gt;""),"","séchage, "),IF(AND('RESULTATS Synthèse'!F27&lt;&gt;0,'RESULTATS Synthèse'!F27&lt;&gt;""),"","carburant, "),IF(AND('RESULTATS Synthèse'!F28&lt;&gt;0,'RESULTATS Synthèse'!F28&lt;&gt;""),"","entretien-réparation, "),IF(AND('RESULTATS Synthèse'!F29&lt;&gt;0,'RESULTATS Synthèse'!F29&lt;&gt;""),"","travaux par tiers, "),IF(SUM(X56:X58)&lt;&gt;0,"","mécanisation, "),IF(AND(X59&lt;&gt;0,X59&lt;&gt;""),"","salaire et ch soc, "),IF(AND(X60&lt;&gt;0,X60&lt;&gt;""),"","cotis soc expl, "),IF(AND(X61&lt;&gt;0,X61&lt;&gt;""),"","fermage, "),IF(AND(X63&lt;&gt;0,X63&lt;&gt;""),"","ACF, "),IF(AND('RESULTATS Synthèse'!F31&lt;&gt;0,'RESULTATS Synthèse'!F31&lt;&gt;""),"","rem MO fam, "),")")</f>
        <v>* Charges prises en compte : (manque : semences, engrais, phytos, irrigation, séchage, carburant, entretien-réparation, travaux par tiers, mécanisation, salaire et ch soc, cotis soc expl, fermage, ACF, rem MO fam, )</v>
      </c>
      <c r="K202" s="438"/>
      <c r="L202" s="438"/>
      <c r="M202" s="438"/>
      <c r="N202" s="438"/>
      <c r="O202" s="438"/>
      <c r="P202" s="438"/>
      <c r="Q202" s="438"/>
      <c r="R202" s="438"/>
      <c r="S202" s="439"/>
      <c r="T202" s="439"/>
      <c r="U202" s="439"/>
      <c r="V202" s="438"/>
      <c r="W202" s="438"/>
      <c r="X202" s="438"/>
      <c r="Y202" s="438"/>
      <c r="Z202" s="438"/>
      <c r="AA202" s="438"/>
      <c r="AE202" s="39"/>
      <c r="AF202" s="39"/>
    </row>
    <row r="203" spans="1:38" hidden="1" x14ac:dyDescent="0.25">
      <c r="A203" s="409"/>
      <c r="B203" s="409"/>
      <c r="C203" s="409"/>
      <c r="E203" s="438" t="s">
        <v>166</v>
      </c>
      <c r="F203" s="518" t="str">
        <f>IF(OR(J21="",J21=0),"Variation des charges",IF(N13&lt;&gt;"ok","Variation des charges",IF(I159="","Variation des charges",IF(I159&gt;0,CONCATENATE("Vos charges ont augmenté de ",IF(ROUND(I159,0)&lt;10,ROUND(I159,1),ROUND(I159,0))," €/t"),IF(I159&lt;0,CONCATENATE("Vos charges ont diminué de ",IF(ROUND(-I159,0)&lt;10,ROUND(-I159,1),ROUND(-I159,0))," €/t"),"Vos charges sont au même niveau")))))</f>
        <v>Variation des charges</v>
      </c>
      <c r="G203" s="438"/>
      <c r="H203" s="438"/>
      <c r="I203" s="438"/>
      <c r="J203" s="517"/>
      <c r="K203" s="438"/>
      <c r="L203" s="438"/>
      <c r="M203" s="438"/>
      <c r="N203" s="438"/>
      <c r="O203" s="438"/>
      <c r="P203" s="438"/>
      <c r="Q203" s="438"/>
      <c r="R203" s="438"/>
      <c r="S203" s="439"/>
      <c r="T203" s="439"/>
      <c r="U203" s="439"/>
      <c r="V203" s="438"/>
      <c r="W203" s="438"/>
      <c r="X203" s="438"/>
      <c r="Y203" s="438"/>
      <c r="Z203" s="438"/>
      <c r="AA203" s="438"/>
      <c r="AE203" s="39"/>
      <c r="AF203" s="39"/>
    </row>
    <row r="204" spans="1:38" hidden="1" x14ac:dyDescent="0.25">
      <c r="A204" s="409"/>
      <c r="B204" s="409"/>
      <c r="C204" s="409"/>
      <c r="D204" s="409"/>
      <c r="F204" s="519" t="str">
        <f>IF(OR(I159="",I161=""),"",IF(I159&gt;0,CONCATENATE("(+",ROUND(I161*100,0),"%)"),IF(I159&lt;0,CONCATENATE("(",ROUND(I161*100,0),"%)"),"")))</f>
        <v/>
      </c>
      <c r="G204" s="438"/>
      <c r="H204" s="438"/>
      <c r="I204" s="438"/>
      <c r="J204" s="517"/>
      <c r="K204" s="438"/>
      <c r="L204" s="438"/>
      <c r="M204" s="438"/>
      <c r="N204" s="438"/>
      <c r="O204" s="438"/>
      <c r="P204" s="438"/>
      <c r="Q204" s="438"/>
      <c r="R204" s="438"/>
      <c r="S204" s="439"/>
      <c r="T204" s="439"/>
      <c r="U204" s="439"/>
      <c r="V204" s="438"/>
      <c r="W204" s="438"/>
      <c r="X204" s="438"/>
      <c r="Y204" s="438"/>
      <c r="Z204" s="438"/>
      <c r="AA204" s="438"/>
      <c r="AE204" s="39"/>
      <c r="AF204" s="39"/>
    </row>
    <row r="205" spans="1:38" hidden="1" x14ac:dyDescent="0.25">
      <c r="A205" s="409"/>
      <c r="B205" s="409"/>
      <c r="C205" s="409"/>
      <c r="D205" s="409"/>
      <c r="F205" s="519" t="str">
        <f>IF(AND(F203&lt;&gt;"",AJ75&lt;&gt;0),"Pour plus de résultats (détail des charges, marge…), cliquez sur l'onglet RESULTATS ci-dessous","Pour plus de résultats (détail des charges, marge…), cliquez sur l'onglet RESULTATS ci-dessous")</f>
        <v>Pour plus de résultats (détail des charges, marge…), cliquez sur l'onglet RESULTATS ci-dessous</v>
      </c>
      <c r="G205" s="438"/>
      <c r="H205" s="438"/>
      <c r="I205" s="438"/>
      <c r="J205" s="517"/>
      <c r="K205" s="438"/>
      <c r="L205" s="438"/>
      <c r="M205" s="438"/>
      <c r="N205" s="438"/>
      <c r="O205" s="438"/>
      <c r="P205" s="438"/>
      <c r="Q205" s="438"/>
      <c r="R205" s="438"/>
      <c r="S205" s="439"/>
      <c r="T205" s="439"/>
      <c r="U205" s="439"/>
      <c r="V205" s="438"/>
      <c r="W205" s="438"/>
      <c r="X205" s="438"/>
      <c r="Y205" s="438"/>
      <c r="Z205" s="438"/>
      <c r="AA205" s="438"/>
      <c r="AE205" s="39"/>
      <c r="AF205" s="39"/>
    </row>
    <row r="206" spans="1:38" hidden="1" x14ac:dyDescent="0.25">
      <c r="A206" s="409"/>
      <c r="B206" s="409"/>
      <c r="C206" s="409"/>
      <c r="D206" s="409"/>
      <c r="E206" s="438" t="s">
        <v>167</v>
      </c>
      <c r="F206" s="520"/>
      <c r="G206" s="438"/>
      <c r="H206" s="438"/>
      <c r="I206" s="438"/>
      <c r="J206" s="517"/>
      <c r="K206" s="438"/>
      <c r="L206" s="438"/>
      <c r="M206" s="438"/>
      <c r="N206" s="438"/>
      <c r="O206" s="438"/>
      <c r="P206" s="438"/>
      <c r="Q206" s="438"/>
      <c r="R206" s="438"/>
      <c r="S206" s="439"/>
      <c r="T206" s="439"/>
      <c r="U206" s="439"/>
      <c r="V206" s="438"/>
      <c r="W206" s="438"/>
      <c r="X206" s="438"/>
      <c r="Y206" s="438"/>
      <c r="Z206" s="438"/>
      <c r="AA206" s="438"/>
      <c r="AE206" s="39"/>
      <c r="AF206" s="39"/>
    </row>
    <row r="207" spans="1:38" hidden="1" x14ac:dyDescent="0.25">
      <c r="A207" s="409"/>
      <c r="B207" s="409"/>
      <c r="C207" s="409"/>
      <c r="D207" s="409"/>
      <c r="F207" s="520"/>
      <c r="G207" s="438"/>
      <c r="H207" s="438"/>
      <c r="I207" s="438"/>
      <c r="J207" s="517"/>
      <c r="K207" s="438"/>
      <c r="L207" s="438"/>
      <c r="M207" s="438"/>
      <c r="N207" s="438"/>
      <c r="O207" s="438"/>
      <c r="P207" s="438"/>
      <c r="Q207" s="438"/>
      <c r="R207" s="438"/>
      <c r="S207" s="439"/>
      <c r="T207" s="439"/>
      <c r="U207" s="439"/>
      <c r="V207" s="438"/>
      <c r="W207" s="438"/>
      <c r="X207" s="438"/>
      <c r="Y207" s="438"/>
      <c r="Z207" s="438"/>
      <c r="AA207" s="438"/>
      <c r="AE207" s="39"/>
      <c r="AF207" s="39"/>
    </row>
    <row r="208" spans="1:38" hidden="1" x14ac:dyDescent="0.25">
      <c r="A208" s="409"/>
      <c r="B208" s="409"/>
      <c r="C208" s="409"/>
      <c r="D208" s="409"/>
      <c r="E208" s="409"/>
      <c r="F208" s="520"/>
      <c r="G208" s="438"/>
      <c r="H208" s="438"/>
      <c r="I208" s="438"/>
      <c r="J208" s="517"/>
      <c r="K208" s="438"/>
      <c r="L208" s="438"/>
      <c r="M208" s="438"/>
      <c r="N208" s="438"/>
      <c r="O208" s="438"/>
      <c r="P208" s="438"/>
      <c r="Q208" s="438"/>
      <c r="R208" s="438"/>
      <c r="S208" s="439"/>
      <c r="T208" s="439"/>
      <c r="U208" s="439"/>
      <c r="V208" s="438"/>
      <c r="W208" s="438"/>
      <c r="X208" s="438"/>
      <c r="Y208" s="438"/>
      <c r="Z208" s="438"/>
      <c r="AA208" s="438"/>
      <c r="AE208" s="39"/>
      <c r="AF208" s="39"/>
    </row>
    <row r="209" spans="1:32" hidden="1" x14ac:dyDescent="0.25">
      <c r="A209" s="409"/>
      <c r="B209" s="409"/>
      <c r="C209" s="409"/>
      <c r="D209" s="409"/>
      <c r="E209" s="438" t="s">
        <v>168</v>
      </c>
      <c r="F209" s="520"/>
      <c r="G209" s="438"/>
      <c r="H209" s="438"/>
      <c r="I209" s="438"/>
      <c r="J209" s="517"/>
      <c r="K209" s="438"/>
      <c r="L209" s="438"/>
      <c r="M209" s="438"/>
      <c r="N209" s="438"/>
      <c r="O209" s="438"/>
      <c r="P209" s="438"/>
      <c r="Q209" s="438"/>
      <c r="R209" s="438"/>
      <c r="S209" s="439"/>
      <c r="T209" s="439"/>
      <c r="U209" s="439"/>
      <c r="V209" s="438"/>
      <c r="W209" s="438"/>
      <c r="X209" s="438"/>
      <c r="Y209" s="438"/>
      <c r="Z209" s="438"/>
      <c r="AA209" s="438"/>
      <c r="AE209" s="39"/>
      <c r="AF209" s="39"/>
    </row>
    <row r="210" spans="1:32" hidden="1" x14ac:dyDescent="0.25">
      <c r="A210" s="409"/>
      <c r="B210" s="409"/>
      <c r="C210" s="409"/>
      <c r="D210" s="409"/>
      <c r="E210" s="409"/>
      <c r="F210" s="520"/>
      <c r="G210" s="438"/>
      <c r="H210" s="438"/>
      <c r="I210" s="438"/>
      <c r="J210" s="517"/>
      <c r="K210" s="438"/>
      <c r="L210" s="438"/>
      <c r="M210" s="438"/>
      <c r="N210" s="438"/>
      <c r="O210" s="438"/>
      <c r="P210" s="438"/>
      <c r="Q210" s="438"/>
      <c r="R210" s="438"/>
      <c r="S210" s="439"/>
      <c r="T210" s="439"/>
      <c r="U210" s="439"/>
      <c r="V210" s="438"/>
      <c r="W210" s="438"/>
      <c r="X210" s="438"/>
      <c r="Y210" s="438"/>
      <c r="Z210" s="438"/>
      <c r="AA210" s="438"/>
      <c r="AE210" s="39"/>
      <c r="AF210" s="39"/>
    </row>
    <row r="211" spans="1:32" hidden="1" x14ac:dyDescent="0.25">
      <c r="A211" s="409"/>
      <c r="B211" s="409"/>
      <c r="C211" s="409"/>
      <c r="D211" s="409"/>
      <c r="E211" s="409"/>
      <c r="F211" s="520"/>
      <c r="G211" s="438"/>
      <c r="H211" s="438"/>
      <c r="I211" s="438"/>
      <c r="J211" s="517"/>
      <c r="K211" s="438"/>
      <c r="L211" s="438"/>
      <c r="M211" s="438"/>
      <c r="N211" s="438"/>
      <c r="O211" s="438"/>
      <c r="P211" s="438"/>
      <c r="Q211" s="438"/>
      <c r="R211" s="438"/>
      <c r="S211" s="439"/>
      <c r="T211" s="439"/>
      <c r="U211" s="439"/>
      <c r="V211" s="438"/>
      <c r="W211" s="438"/>
      <c r="X211" s="438"/>
      <c r="Y211" s="438"/>
      <c r="Z211" s="438"/>
      <c r="AA211" s="438"/>
      <c r="AE211" s="39"/>
      <c r="AF211" s="39"/>
    </row>
    <row r="212" spans="1:32" hidden="1" x14ac:dyDescent="0.25">
      <c r="A212" s="409"/>
      <c r="B212" s="409"/>
      <c r="C212" s="409"/>
      <c r="D212" s="409"/>
      <c r="E212" s="409"/>
      <c r="F212" s="520"/>
      <c r="G212" s="438"/>
      <c r="H212" s="438"/>
      <c r="I212" s="438"/>
      <c r="J212" s="517"/>
      <c r="K212" s="438"/>
      <c r="L212" s="438"/>
      <c r="M212" s="438"/>
      <c r="N212" s="438"/>
      <c r="O212" s="438"/>
      <c r="P212" s="438"/>
      <c r="Q212" s="438"/>
      <c r="R212" s="438"/>
      <c r="S212" s="439"/>
      <c r="T212" s="439"/>
      <c r="U212" s="439"/>
      <c r="V212" s="438"/>
      <c r="W212" s="438"/>
      <c r="X212" s="438"/>
      <c r="Y212" s="438"/>
      <c r="Z212" s="438"/>
      <c r="AA212" s="438"/>
      <c r="AE212" s="39"/>
      <c r="AF212" s="39"/>
    </row>
    <row r="213" spans="1:32" hidden="1" x14ac:dyDescent="0.25">
      <c r="A213" s="409"/>
      <c r="B213" s="409"/>
      <c r="C213" s="409"/>
      <c r="D213" s="409"/>
      <c r="E213" s="409" t="s">
        <v>59</v>
      </c>
      <c r="F213" s="438"/>
      <c r="G213" s="438"/>
      <c r="H213" s="438"/>
      <c r="I213" s="438"/>
      <c r="J213" s="438"/>
      <c r="K213" s="438"/>
      <c r="L213" s="438"/>
      <c r="M213" s="438"/>
      <c r="N213" s="438"/>
      <c r="O213" s="438"/>
      <c r="P213" s="438"/>
      <c r="Q213" s="438"/>
      <c r="R213" s="438"/>
      <c r="S213" s="439"/>
      <c r="T213" s="439"/>
      <c r="U213" s="439"/>
      <c r="V213" s="438"/>
      <c r="W213" s="438"/>
      <c r="X213" s="438"/>
      <c r="Y213" s="438"/>
      <c r="Z213" s="438"/>
      <c r="AA213" s="438"/>
      <c r="AE213" s="39"/>
      <c r="AF213" s="39"/>
    </row>
    <row r="214" spans="1:32" hidden="1" x14ac:dyDescent="0.25">
      <c r="A214" s="409"/>
      <c r="B214" s="409"/>
      <c r="C214" s="409">
        <v>0</v>
      </c>
      <c r="D214" s="409"/>
      <c r="E214" s="521" t="s">
        <v>60</v>
      </c>
      <c r="F214" s="514" t="s">
        <v>67</v>
      </c>
      <c r="G214" s="438"/>
      <c r="H214" s="438">
        <v>0</v>
      </c>
      <c r="I214" s="438"/>
      <c r="J214" s="438"/>
      <c r="K214" s="438"/>
      <c r="L214" s="438"/>
      <c r="M214" s="438"/>
      <c r="N214" s="438"/>
      <c r="O214" s="438"/>
      <c r="P214" s="438"/>
      <c r="Q214" s="438"/>
      <c r="R214" s="438"/>
      <c r="S214" s="439"/>
      <c r="T214" s="439"/>
      <c r="U214" s="439"/>
      <c r="V214" s="438"/>
      <c r="W214" s="438"/>
      <c r="X214" s="438"/>
      <c r="Y214" s="438"/>
      <c r="Z214" s="438"/>
      <c r="AA214" s="438"/>
      <c r="AE214" s="39"/>
      <c r="AF214" s="39"/>
    </row>
    <row r="215" spans="1:32" hidden="1" x14ac:dyDescent="0.25">
      <c r="A215" s="409"/>
      <c r="B215" s="409"/>
      <c r="C215" s="409">
        <v>1</v>
      </c>
      <c r="D215" s="409"/>
      <c r="E215" s="521" t="s">
        <v>61</v>
      </c>
      <c r="F215" s="514" t="s">
        <v>62</v>
      </c>
      <c r="G215" s="438"/>
      <c r="H215" s="438">
        <v>1</v>
      </c>
      <c r="I215" s="438"/>
      <c r="J215" s="438"/>
      <c r="K215" s="438"/>
      <c r="L215" s="438"/>
      <c r="M215" s="438"/>
      <c r="N215" s="438"/>
      <c r="O215" s="438"/>
      <c r="P215" s="438"/>
      <c r="Q215" s="438"/>
      <c r="R215" s="438"/>
      <c r="S215" s="439"/>
      <c r="T215" s="439"/>
      <c r="U215" s="439"/>
      <c r="V215" s="438"/>
      <c r="W215" s="438"/>
      <c r="X215" s="438"/>
      <c r="Y215" s="438"/>
      <c r="Z215" s="438"/>
      <c r="AA215" s="438"/>
      <c r="AE215" s="39"/>
      <c r="AF215" s="39"/>
    </row>
    <row r="216" spans="1:32" hidden="1" x14ac:dyDescent="0.25">
      <c r="A216" s="409"/>
      <c r="B216" s="409"/>
      <c r="C216" s="409">
        <v>2</v>
      </c>
      <c r="D216" s="409"/>
      <c r="E216" s="521" t="s">
        <v>63</v>
      </c>
      <c r="F216" s="514" t="s">
        <v>64</v>
      </c>
      <c r="G216" s="438"/>
      <c r="H216" s="438">
        <v>2</v>
      </c>
      <c r="I216" s="438"/>
      <c r="J216" s="438"/>
      <c r="K216" s="438"/>
      <c r="L216" s="438"/>
      <c r="M216" s="438"/>
      <c r="N216" s="438"/>
      <c r="O216" s="438"/>
      <c r="P216" s="438"/>
      <c r="Q216" s="438"/>
      <c r="R216" s="438"/>
      <c r="S216" s="439"/>
      <c r="T216" s="439"/>
      <c r="U216" s="439"/>
      <c r="V216" s="438"/>
      <c r="W216" s="438"/>
      <c r="X216" s="438"/>
      <c r="Y216" s="438"/>
      <c r="Z216" s="438"/>
      <c r="AA216" s="438"/>
      <c r="AE216" s="39"/>
      <c r="AF216" s="39"/>
    </row>
    <row r="217" spans="1:32" hidden="1" x14ac:dyDescent="0.25">
      <c r="A217" s="409"/>
      <c r="B217" s="409"/>
      <c r="C217" s="409">
        <v>3</v>
      </c>
      <c r="D217" s="409"/>
      <c r="E217" s="521" t="s">
        <v>65</v>
      </c>
      <c r="F217" s="514" t="s">
        <v>66</v>
      </c>
      <c r="G217" s="438"/>
      <c r="H217" s="438">
        <v>3</v>
      </c>
      <c r="I217" s="438"/>
      <c r="J217" s="438"/>
      <c r="K217" s="438"/>
      <c r="L217" s="438"/>
      <c r="M217" s="438"/>
      <c r="N217" s="438"/>
      <c r="O217" s="438"/>
      <c r="P217" s="438"/>
      <c r="Q217" s="438"/>
      <c r="R217" s="438"/>
      <c r="S217" s="439"/>
      <c r="T217" s="439"/>
      <c r="U217" s="439"/>
      <c r="V217" s="438"/>
      <c r="W217" s="438"/>
      <c r="X217" s="438"/>
      <c r="Y217" s="438"/>
      <c r="Z217" s="438"/>
      <c r="AA217" s="438"/>
    </row>
    <row r="218" spans="1:32" hidden="1" x14ac:dyDescent="0.25">
      <c r="A218" s="409"/>
      <c r="B218" s="409"/>
      <c r="C218" s="409">
        <v>4</v>
      </c>
      <c r="D218" s="409"/>
      <c r="E218" s="521" t="s">
        <v>72</v>
      </c>
      <c r="F218" s="438" t="s">
        <v>73</v>
      </c>
      <c r="G218" s="438"/>
      <c r="H218" s="438">
        <v>4</v>
      </c>
      <c r="I218" s="438"/>
      <c r="J218" s="438"/>
      <c r="K218" s="438"/>
      <c r="L218" s="438"/>
      <c r="M218" s="438"/>
      <c r="N218" s="438"/>
      <c r="O218" s="438"/>
      <c r="P218" s="438"/>
      <c r="Q218" s="438"/>
      <c r="R218" s="438"/>
      <c r="S218" s="439"/>
      <c r="T218" s="439"/>
      <c r="U218" s="439"/>
      <c r="V218" s="438"/>
      <c r="W218" s="438"/>
      <c r="X218" s="438"/>
      <c r="Y218" s="438"/>
      <c r="Z218" s="438"/>
      <c r="AA218" s="438"/>
    </row>
    <row r="219" spans="1:32" hidden="1" x14ac:dyDescent="0.25">
      <c r="A219" s="409"/>
      <c r="B219" s="409"/>
      <c r="C219" s="409"/>
      <c r="D219" s="409"/>
      <c r="E219" s="409"/>
      <c r="F219" s="438"/>
      <c r="G219" s="438"/>
      <c r="H219" s="438"/>
      <c r="I219" s="438"/>
      <c r="J219" s="438"/>
      <c r="K219" s="438"/>
      <c r="L219" s="438"/>
      <c r="M219" s="438"/>
      <c r="N219" s="438"/>
      <c r="O219" s="438"/>
      <c r="P219" s="438"/>
      <c r="Q219" s="438"/>
      <c r="R219" s="438"/>
      <c r="S219" s="439"/>
      <c r="T219" s="439"/>
      <c r="U219" s="439"/>
      <c r="V219" s="438"/>
      <c r="W219" s="438"/>
      <c r="X219" s="438"/>
      <c r="Y219" s="438"/>
      <c r="Z219" s="438"/>
    </row>
  </sheetData>
  <sheetProtection algorithmName="SHA-512" hashValue="kbwem5E0KOncugaroNH66bqmZ6TjbwMRBgKLgJuH7nRW/eviWD8rBky2//LCGeVHqxCCBNXQmsKmDAXhTB2zpg==" saltValue="fj0TzxLZ89zVV6DYu3ODqA==" spinCount="100000" sheet="1" objects="1" scenarios="1" selectLockedCells="1"/>
  <mergeCells count="73">
    <mergeCell ref="AL26:AS27"/>
    <mergeCell ref="AL28:AS28"/>
    <mergeCell ref="AL39:AS40"/>
    <mergeCell ref="AL41:AS41"/>
    <mergeCell ref="AL51:AS52"/>
    <mergeCell ref="A9:AS9"/>
    <mergeCell ref="AL53:AS53"/>
    <mergeCell ref="AQ43:AW50"/>
    <mergeCell ref="AQ30:AW38"/>
    <mergeCell ref="H22:I22"/>
    <mergeCell ref="H23:I23"/>
    <mergeCell ref="L22:M22"/>
    <mergeCell ref="L23:M23"/>
    <mergeCell ref="P22:Q22"/>
    <mergeCell ref="P23:Q23"/>
    <mergeCell ref="L25:L29"/>
    <mergeCell ref="Y28:Y29"/>
    <mergeCell ref="Z28:Z29"/>
    <mergeCell ref="X23:X27"/>
    <mergeCell ref="Y23:Y27"/>
    <mergeCell ref="Z23:Z27"/>
    <mergeCell ref="N13:N14"/>
    <mergeCell ref="J13:M14"/>
    <mergeCell ref="H17:H18"/>
    <mergeCell ref="I17:J18"/>
    <mergeCell ref="L17:L18"/>
    <mergeCell ref="M17:N18"/>
    <mergeCell ref="P21:Q21"/>
    <mergeCell ref="AA17:AA18"/>
    <mergeCell ref="P17:P18"/>
    <mergeCell ref="Q17:R18"/>
    <mergeCell ref="S18:S19"/>
    <mergeCell ref="X21:Z22"/>
    <mergeCell ref="A6:AA7"/>
    <mergeCell ref="A8:AA8"/>
    <mergeCell ref="C50:E50"/>
    <mergeCell ref="D48:E48"/>
    <mergeCell ref="C32:C48"/>
    <mergeCell ref="H21:I21"/>
    <mergeCell ref="H20:J20"/>
    <mergeCell ref="L20:N20"/>
    <mergeCell ref="L21:M21"/>
    <mergeCell ref="P20:R20"/>
    <mergeCell ref="G14:H14"/>
    <mergeCell ref="M25:M29"/>
    <mergeCell ref="N25:N29"/>
    <mergeCell ref="P25:P29"/>
    <mergeCell ref="Q25:Q29"/>
    <mergeCell ref="X28:X29"/>
    <mergeCell ref="R25:R29"/>
    <mergeCell ref="C30:E30"/>
    <mergeCell ref="C65:D67"/>
    <mergeCell ref="C25:E29"/>
    <mergeCell ref="F25:F29"/>
    <mergeCell ref="G25:G29"/>
    <mergeCell ref="H25:H29"/>
    <mergeCell ref="I25:I29"/>
    <mergeCell ref="J25:J29"/>
    <mergeCell ref="AC37:AI44"/>
    <mergeCell ref="B69:D70"/>
    <mergeCell ref="C51:D54"/>
    <mergeCell ref="C56:D58"/>
    <mergeCell ref="C59:D60"/>
    <mergeCell ref="B56:B67"/>
    <mergeCell ref="B32:B54"/>
    <mergeCell ref="C49:E49"/>
    <mergeCell ref="C61:E61"/>
    <mergeCell ref="C62:E62"/>
    <mergeCell ref="D33:D36"/>
    <mergeCell ref="D37:D41"/>
    <mergeCell ref="D46:D47"/>
    <mergeCell ref="C63:E63"/>
    <mergeCell ref="D42:D45"/>
  </mergeCells>
  <phoneticPr fontId="25" type="noConversion"/>
  <conditionalFormatting sqref="N13">
    <cfRule type="cellIs" dxfId="354" priority="242" operator="equal">
      <formula>"/!\"</formula>
    </cfRule>
    <cfRule type="cellIs" dxfId="353" priority="243" operator="equal">
      <formula>"ok"</formula>
    </cfRule>
  </conditionalFormatting>
  <conditionalFormatting sqref="S11:S18">
    <cfRule type="cellIs" dxfId="352" priority="239" operator="equal">
      <formula>"X"</formula>
    </cfRule>
  </conditionalFormatting>
  <conditionalFormatting sqref="AA32:AA63">
    <cfRule type="cellIs" dxfId="351" priority="213" operator="notEqual">
      <formula>""</formula>
    </cfRule>
  </conditionalFormatting>
  <conditionalFormatting sqref="AA17">
    <cfRule type="cellIs" dxfId="350" priority="197" operator="notEqual">
      <formula>""</formula>
    </cfRule>
  </conditionalFormatting>
  <conditionalFormatting sqref="AA21">
    <cfRule type="cellIs" dxfId="349" priority="196" operator="notEqual">
      <formula>""</formula>
    </cfRule>
  </conditionalFormatting>
  <conditionalFormatting sqref="X30:Z30 X56:Z63 X67:Z67 X69:Z70 X32:Z54">
    <cfRule type="cellIs" dxfId="348" priority="264" operator="equal">
      <formula>$T$19</formula>
    </cfRule>
    <cfRule type="cellIs" dxfId="347" priority="265" operator="equal">
      <formula>$T$18</formula>
    </cfRule>
    <cfRule type="cellIs" dxfId="346" priority="266" operator="equal">
      <formula>$T$17</formula>
    </cfRule>
    <cfRule type="cellIs" dxfId="345" priority="267" operator="equal">
      <formula>$T$16</formula>
    </cfRule>
    <cfRule type="cellIs" dxfId="344" priority="268" operator="equal">
      <formula>$T$15</formula>
    </cfRule>
  </conditionalFormatting>
  <printOptions horizontalCentered="1" verticalCentered="1"/>
  <pageMargins left="0.25" right="0.25" top="0.75" bottom="0.75" header="0.3" footer="0.3"/>
  <pageSetup paperSize="9" scale="4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7B28B-71EF-4207-A00E-2102344A478D}">
  <sheetPr>
    <tabColor rgb="FFCCFF66"/>
    <pageSetUpPr fitToPage="1"/>
  </sheetPr>
  <dimension ref="A1:CI62"/>
  <sheetViews>
    <sheetView zoomScaleNormal="100" workbookViewId="0">
      <selection activeCell="J1" sqref="J1:P10"/>
    </sheetView>
  </sheetViews>
  <sheetFormatPr baseColWidth="10" defaultRowHeight="15" x14ac:dyDescent="0.25"/>
  <cols>
    <col min="1" max="1" width="1.140625" style="1" customWidth="1"/>
    <col min="2" max="2" width="2.28515625" style="1" customWidth="1"/>
    <col min="3" max="5" width="9.42578125" style="1" customWidth="1"/>
    <col min="6" max="6" width="7.85546875" style="1" customWidth="1"/>
    <col min="7" max="8" width="7.7109375" style="1" customWidth="1"/>
    <col min="9" max="9" width="1.5703125" style="1" customWidth="1"/>
    <col min="10" max="10" width="7.7109375" style="1" customWidth="1"/>
    <col min="11" max="13" width="7.7109375" style="59" customWidth="1"/>
    <col min="14" max="18" width="7.7109375" style="1" customWidth="1"/>
    <col min="19" max="64" width="4.42578125" style="1" customWidth="1"/>
    <col min="65" max="66" width="4.28515625" style="1" customWidth="1"/>
    <col min="67" max="73" width="11.42578125" style="1"/>
    <col min="74" max="85" width="7.5703125" style="1" customWidth="1"/>
    <col min="86" max="16384" width="11.42578125" style="1"/>
  </cols>
  <sheetData>
    <row r="1" spans="1:65" ht="15.75" customHeight="1" x14ac:dyDescent="0.25">
      <c r="B1" s="58"/>
      <c r="C1" s="58"/>
      <c r="J1" s="523"/>
      <c r="K1" s="523"/>
      <c r="L1" s="523"/>
      <c r="M1" s="523"/>
      <c r="N1" s="523"/>
      <c r="O1" s="523"/>
      <c r="P1" s="523"/>
      <c r="Q1" s="50"/>
    </row>
    <row r="2" spans="1:65" ht="15.75" customHeight="1" x14ac:dyDescent="0.25">
      <c r="B2" s="58"/>
      <c r="C2" s="58"/>
      <c r="J2" s="523"/>
      <c r="K2" s="523"/>
      <c r="L2" s="523"/>
      <c r="M2" s="523"/>
      <c r="N2" s="523"/>
      <c r="O2" s="523"/>
      <c r="P2" s="523"/>
      <c r="Q2" s="50"/>
    </row>
    <row r="3" spans="1:65" ht="15.75" customHeight="1" x14ac:dyDescent="0.25">
      <c r="B3" s="58"/>
      <c r="C3" s="58"/>
      <c r="J3" s="523"/>
      <c r="K3" s="523"/>
      <c r="L3" s="523"/>
      <c r="M3" s="523"/>
      <c r="N3" s="523"/>
      <c r="O3" s="523"/>
      <c r="P3" s="523"/>
      <c r="Q3" s="50"/>
    </row>
    <row r="4" spans="1:65" ht="15.75" customHeight="1" x14ac:dyDescent="0.25">
      <c r="B4" s="61"/>
      <c r="C4" s="61"/>
      <c r="J4" s="523"/>
      <c r="K4" s="523"/>
      <c r="L4" s="523"/>
      <c r="M4" s="523"/>
      <c r="N4" s="523"/>
      <c r="O4" s="523"/>
      <c r="P4" s="523"/>
      <c r="Q4" s="50"/>
    </row>
    <row r="5" spans="1:65" ht="15.75" customHeight="1" x14ac:dyDescent="0.25">
      <c r="B5" s="61"/>
      <c r="C5" s="61"/>
      <c r="J5" s="523"/>
      <c r="K5" s="523"/>
      <c r="L5" s="523"/>
      <c r="M5" s="523"/>
      <c r="N5" s="523"/>
      <c r="O5" s="523"/>
      <c r="P5" s="523"/>
      <c r="Q5" s="50"/>
    </row>
    <row r="6" spans="1:65" ht="15.75" customHeight="1" x14ac:dyDescent="0.25">
      <c r="B6" s="61"/>
      <c r="C6" s="61"/>
      <c r="J6" s="523"/>
      <c r="K6" s="523"/>
      <c r="L6" s="523"/>
      <c r="M6" s="523"/>
      <c r="N6" s="523"/>
      <c r="O6" s="523"/>
      <c r="P6" s="523"/>
      <c r="Q6" s="50"/>
    </row>
    <row r="7" spans="1:65" ht="15.75" customHeight="1" x14ac:dyDescent="0.25">
      <c r="B7" s="61"/>
      <c r="C7" s="61"/>
      <c r="J7" s="523"/>
      <c r="K7" s="523"/>
      <c r="L7" s="523"/>
      <c r="M7" s="523"/>
      <c r="N7" s="523"/>
      <c r="O7" s="523"/>
      <c r="P7" s="523"/>
      <c r="Q7" s="50"/>
    </row>
    <row r="8" spans="1:65" ht="15.75" customHeight="1" x14ac:dyDescent="0.25">
      <c r="B8" s="61"/>
      <c r="C8" s="61"/>
      <c r="J8" s="523"/>
      <c r="K8" s="523"/>
      <c r="L8" s="523"/>
      <c r="M8" s="523"/>
      <c r="N8" s="523"/>
      <c r="O8" s="523"/>
      <c r="P8" s="523"/>
      <c r="Q8" s="50"/>
    </row>
    <row r="9" spans="1:65" ht="15.75" customHeight="1" x14ac:dyDescent="0.25">
      <c r="B9" s="61"/>
      <c r="C9" s="61"/>
      <c r="J9" s="523"/>
      <c r="K9" s="523"/>
      <c r="L9" s="523"/>
      <c r="M9" s="523"/>
      <c r="N9" s="523"/>
      <c r="O9" s="523"/>
      <c r="P9" s="523"/>
      <c r="Q9" s="50"/>
    </row>
    <row r="10" spans="1:65" ht="15.75" customHeight="1" x14ac:dyDescent="0.25">
      <c r="B10" s="61"/>
      <c r="C10" s="61"/>
      <c r="J10" s="523"/>
      <c r="K10" s="523"/>
      <c r="L10" s="523"/>
      <c r="M10" s="523"/>
      <c r="N10" s="523"/>
      <c r="O10" s="523"/>
      <c r="P10" s="523"/>
      <c r="Q10" s="50"/>
    </row>
    <row r="11" spans="1:65" ht="34.5" customHeight="1" x14ac:dyDescent="0.5">
      <c r="A11" s="679" t="s">
        <v>25</v>
      </c>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190"/>
      <c r="BK11" s="191"/>
      <c r="BL11" s="191"/>
      <c r="BM11" s="192" t="str">
        <f>SAISIE!AY9</f>
        <v>Version 220512</v>
      </c>
    </row>
    <row r="12" spans="1:65" ht="9.75" customHeight="1" x14ac:dyDescent="0.5">
      <c r="A12" s="234"/>
      <c r="B12" s="234"/>
      <c r="C12" s="234"/>
      <c r="D12" s="234"/>
      <c r="E12" s="234"/>
      <c r="F12" s="234"/>
      <c r="G12" s="234"/>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K12" s="235"/>
      <c r="BL12" s="235"/>
      <c r="BM12" s="236"/>
    </row>
    <row r="13" spans="1:65" ht="23.25" customHeight="1" thickBot="1" x14ac:dyDescent="0.4">
      <c r="B13" s="682" t="s">
        <v>91</v>
      </c>
      <c r="C13" s="682"/>
      <c r="D13" s="682"/>
      <c r="E13" s="682"/>
      <c r="F13" s="682"/>
      <c r="G13" s="682"/>
      <c r="H13" s="682"/>
      <c r="I13" s="682"/>
      <c r="J13" s="682"/>
      <c r="K13" s="682"/>
      <c r="L13" s="682"/>
      <c r="M13" s="682"/>
      <c r="N13" s="682"/>
      <c r="O13" s="682"/>
      <c r="P13" s="682"/>
      <c r="Q13" s="682"/>
      <c r="R13" s="682"/>
      <c r="V13" s="51"/>
      <c r="W13" s="2"/>
      <c r="X13" s="51"/>
      <c r="Y13" s="51"/>
      <c r="Z13" s="51"/>
    </row>
    <row r="14" spans="1:65" ht="15.75" thickBot="1" x14ac:dyDescent="0.3">
      <c r="F14" s="667" t="s">
        <v>163</v>
      </c>
      <c r="G14" s="668"/>
      <c r="H14" s="669"/>
      <c r="J14" s="664" t="s">
        <v>164</v>
      </c>
      <c r="K14" s="665"/>
      <c r="L14" s="665"/>
      <c r="M14" s="665"/>
      <c r="N14" s="665"/>
      <c r="O14" s="665"/>
      <c r="P14" s="665"/>
      <c r="Q14" s="665"/>
      <c r="R14" s="666"/>
      <c r="U14" s="5"/>
      <c r="BA14" s="3"/>
      <c r="BB14" s="3"/>
      <c r="BC14" s="3"/>
      <c r="BD14" s="3"/>
      <c r="BE14" s="3"/>
      <c r="BF14" s="3"/>
      <c r="BG14" s="3"/>
      <c r="BH14" s="3"/>
      <c r="BI14" s="3"/>
      <c r="BJ14" s="3"/>
      <c r="BK14" s="3"/>
      <c r="BL14" s="3"/>
      <c r="BM14" s="3"/>
    </row>
    <row r="15" spans="1:65" x14ac:dyDescent="0.25">
      <c r="B15" s="680" t="str">
        <f>IF(SAISIE!G14="","",SAISIE!G14)</f>
        <v/>
      </c>
      <c r="C15" s="680"/>
      <c r="D15" s="680"/>
      <c r="E15" s="681"/>
      <c r="F15" s="670" t="str">
        <f>IF(SAISIE!S128="","",SAISIE!S128)</f>
        <v/>
      </c>
      <c r="G15" s="673" t="str">
        <f>IF(SAISIE!T128="","",SAISIE!T128)</f>
        <v/>
      </c>
      <c r="H15" s="651" t="str">
        <f>IF(SAISIE!U128="","",SAISIE!U128)</f>
        <v/>
      </c>
      <c r="J15" s="631" t="str">
        <f>IF(SAISIE!V128="","",SAISIE!V128)</f>
        <v/>
      </c>
      <c r="K15" s="632"/>
      <c r="L15" s="633"/>
      <c r="M15" s="637" t="str">
        <f>IF(SAISIE!W128="","",SAISIE!W128)</f>
        <v/>
      </c>
      <c r="N15" s="638"/>
      <c r="O15" s="639"/>
      <c r="P15" s="648" t="str">
        <f>IF(SAISIE!X128="","",SAISIE!X128)</f>
        <v/>
      </c>
      <c r="Q15" s="649"/>
      <c r="R15" s="650"/>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row>
    <row r="16" spans="1:65" ht="15" customHeight="1" x14ac:dyDescent="0.25">
      <c r="B16" s="680"/>
      <c r="C16" s="680"/>
      <c r="D16" s="680"/>
      <c r="E16" s="681"/>
      <c r="F16" s="671"/>
      <c r="G16" s="674"/>
      <c r="H16" s="652"/>
      <c r="J16" s="619" t="s">
        <v>162</v>
      </c>
      <c r="K16" s="635" t="s">
        <v>95</v>
      </c>
      <c r="L16" s="640" t="s">
        <v>96</v>
      </c>
      <c r="M16" s="619" t="s">
        <v>162</v>
      </c>
      <c r="N16" s="635" t="s">
        <v>95</v>
      </c>
      <c r="O16" s="640" t="s">
        <v>96</v>
      </c>
      <c r="P16" s="619" t="s">
        <v>162</v>
      </c>
      <c r="Q16" s="635" t="s">
        <v>95</v>
      </c>
      <c r="R16" s="640" t="s">
        <v>96</v>
      </c>
      <c r="T16" s="5"/>
      <c r="U16" s="642" t="str">
        <f>SAISIE!F200</f>
        <v>Rdt :  T/ha</v>
      </c>
      <c r="V16" s="642"/>
      <c r="W16" s="642"/>
      <c r="X16" s="642" t="str">
        <f>SAISIE!F201</f>
        <v/>
      </c>
      <c r="Y16" s="642"/>
      <c r="Z16" s="642"/>
      <c r="AA16" s="642" t="str">
        <f>SAISIE!F202</f>
        <v/>
      </c>
      <c r="AB16" s="642"/>
      <c r="AC16" s="63"/>
      <c r="AD16" s="63"/>
      <c r="AE16" s="642" t="str">
        <f>U16</f>
        <v>Rdt :  T/ha</v>
      </c>
      <c r="AF16" s="642"/>
      <c r="AG16" s="642"/>
      <c r="AH16" s="227"/>
      <c r="AI16" s="63"/>
      <c r="AJ16" s="642" t="str">
        <f>X16</f>
        <v/>
      </c>
      <c r="AK16" s="642"/>
      <c r="AL16" s="63"/>
      <c r="AM16" s="63"/>
      <c r="AN16" s="642" t="str">
        <f>AA16</f>
        <v/>
      </c>
      <c r="AO16" s="642"/>
      <c r="AR16" s="5"/>
      <c r="AS16" s="5"/>
      <c r="AT16" s="5"/>
      <c r="AU16" s="5"/>
      <c r="AV16" s="5"/>
      <c r="AW16" s="5"/>
      <c r="AX16" s="5"/>
      <c r="AY16" s="5"/>
    </row>
    <row r="17" spans="2:52" ht="15.75" thickBot="1" x14ac:dyDescent="0.3">
      <c r="B17" s="4"/>
      <c r="F17" s="672"/>
      <c r="G17" s="675"/>
      <c r="H17" s="653"/>
      <c r="J17" s="620"/>
      <c r="K17" s="636"/>
      <c r="L17" s="641"/>
      <c r="M17" s="620"/>
      <c r="N17" s="636"/>
      <c r="O17" s="641"/>
      <c r="P17" s="620"/>
      <c r="Q17" s="636"/>
      <c r="R17" s="641"/>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row>
    <row r="18" spans="2:52" ht="15.75" thickBot="1" x14ac:dyDescent="0.3">
      <c r="B18" s="658" t="s">
        <v>197</v>
      </c>
      <c r="C18" s="659"/>
      <c r="D18" s="659"/>
      <c r="E18" s="660"/>
      <c r="F18" s="121"/>
      <c r="G18" s="138"/>
      <c r="H18" s="166"/>
      <c r="J18" s="206" t="str">
        <f>IF(SAISIE!$N$13&lt;&gt;"ok","",IF(SAISIE!V129="","",SAISIE!V129))</f>
        <v/>
      </c>
      <c r="K18" s="207" t="str">
        <f>IF(SAISIE!$N$13&lt;&gt;"ok","",IF(SAISIE!Z129="","",SAISIE!Z129))</f>
        <v/>
      </c>
      <c r="L18" s="208" t="str">
        <f>IF(SAISIE!$N$13&lt;&gt;"ok","",IF(SAISIE!AD129="","",SAISIE!AD129))</f>
        <v/>
      </c>
      <c r="M18" s="209" t="str">
        <f>IF(SAISIE!$N$13&lt;&gt;"ok","",IF(SAISIE!W129="","",SAISIE!W129))</f>
        <v/>
      </c>
      <c r="N18" s="210" t="str">
        <f>IF(SAISIE!$N$13&lt;&gt;"ok","",IF(SAISIE!AA129="","",SAISIE!AA129))</f>
        <v/>
      </c>
      <c r="O18" s="211" t="str">
        <f>IF(SAISIE!$N$13&lt;&gt;"ok","",IF(SAISIE!AE129="","",SAISIE!AE129))</f>
        <v/>
      </c>
      <c r="P18" s="212" t="str">
        <f>IF(SAISIE!$N$13&lt;&gt;"ok","",IF(SAISIE!X129="","",SAISIE!X129))</f>
        <v/>
      </c>
      <c r="Q18" s="213" t="str">
        <f>IF(SAISIE!$N$13&lt;&gt;"ok","",IF(SAISIE!AB129="","",SAISIE!AB129))</f>
        <v/>
      </c>
      <c r="R18" s="214" t="str">
        <f>IF(SAISIE!$N$13&lt;&gt;"ok","",IF(SAISIE!AF129="","",SAISIE!AF129))</f>
        <v/>
      </c>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row>
    <row r="19" spans="2:52" ht="15" customHeight="1" x14ac:dyDescent="0.25">
      <c r="B19" s="661" t="str">
        <f>SAISIE!C132</f>
        <v>Semences</v>
      </c>
      <c r="C19" s="662"/>
      <c r="D19" s="662"/>
      <c r="E19" s="663"/>
      <c r="F19" s="122" t="str">
        <f>IF(SAISIE!$N$13&lt;&gt;"ok","",IF(SAISIE!S132="","",SAISIE!S132))</f>
        <v/>
      </c>
      <c r="G19" s="119" t="str">
        <f>IF(SAISIE!$N$13&lt;&gt;"ok","",IF(SAISIE!T132="","",SAISIE!T132))</f>
        <v/>
      </c>
      <c r="H19" s="120" t="str">
        <f>IF(SAISIE!$N$13&lt;&gt;"ok","",IF(SAISIE!U132="","",SAISIE!U132))</f>
        <v/>
      </c>
      <c r="J19" s="126" t="str">
        <f>IF(SAISIE!$N$13&lt;&gt;"ok","",IF(SAISIE!V132="","",SAISIE!V132))</f>
        <v/>
      </c>
      <c r="K19" s="127" t="str">
        <f>IF(SAISIE!$N$13&lt;&gt;"ok","",IF(SAISIE!Z132="","",SAISIE!Z132))</f>
        <v/>
      </c>
      <c r="L19" s="128" t="str">
        <f>IF(SAISIE!$N$13&lt;&gt;"ok","",IF(SAISIE!AD132="","",SAISIE!AD132))</f>
        <v/>
      </c>
      <c r="M19" s="142" t="str">
        <f>IF(SAISIE!$N$13&lt;&gt;"ok","",IF(SAISIE!W132="","",SAISIE!W132))</f>
        <v/>
      </c>
      <c r="N19" s="143" t="str">
        <f>IF(SAISIE!$N$13&lt;&gt;"ok","",IF(SAISIE!AA132="","",SAISIE!AA132))</f>
        <v/>
      </c>
      <c r="O19" s="144" t="str">
        <f>IF(SAISIE!$N$13&lt;&gt;"ok","",IF(SAISIE!AE132="","",SAISIE!AE132))</f>
        <v/>
      </c>
      <c r="P19" s="154" t="str">
        <f>IF(SAISIE!$N$13&lt;&gt;"ok","",IF(SAISIE!X132="","",SAISIE!X132))</f>
        <v/>
      </c>
      <c r="Q19" s="155" t="str">
        <f>IF(SAISIE!$N$13&lt;&gt;"ok","",IF(SAISIE!AB132="","",SAISIE!AB132))</f>
        <v/>
      </c>
      <c r="R19" s="156" t="str">
        <f>IF(SAISIE!$N$13&lt;&gt;"ok","",IF(SAISIE!AF132="","",SAISIE!AF132))</f>
        <v/>
      </c>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row>
    <row r="20" spans="2:52" ht="15" customHeight="1" x14ac:dyDescent="0.25">
      <c r="B20" s="655" t="str">
        <f>SAISIE!C133</f>
        <v>Engrais total</v>
      </c>
      <c r="C20" s="656"/>
      <c r="D20" s="656"/>
      <c r="E20" s="657"/>
      <c r="F20" s="121" t="str">
        <f>IF(SAISIE!$N$13&lt;&gt;"ok","",IF(SAISIE!S133="","",SAISIE!S133))</f>
        <v/>
      </c>
      <c r="G20" s="138" t="str">
        <f>IF(SAISIE!$N$13&lt;&gt;"ok","",IF(SAISIE!T133="","",SAISIE!T133))</f>
        <v/>
      </c>
      <c r="H20" s="166" t="str">
        <f>IF(SAISIE!$N$13&lt;&gt;"ok","",IF(SAISIE!U133="","",SAISIE!U133))</f>
        <v/>
      </c>
      <c r="J20" s="98" t="str">
        <f>IF(SAISIE!$N$13&lt;&gt;"ok","",IF(SAISIE!V133="","",SAISIE!V133))</f>
        <v/>
      </c>
      <c r="K20" s="99" t="str">
        <f>IF(SAISIE!$N$13&lt;&gt;"ok","",IF(SAISIE!Z133="","",SAISIE!Z133))</f>
        <v/>
      </c>
      <c r="L20" s="100" t="str">
        <f>IF(SAISIE!$N$13&lt;&gt;"ok","",IF(SAISIE!AD133="","",SAISIE!AD133))</f>
        <v/>
      </c>
      <c r="M20" s="86" t="str">
        <f>IF(SAISIE!$N$13&lt;&gt;"ok","",IF(SAISIE!W133="","",SAISIE!W133))</f>
        <v/>
      </c>
      <c r="N20" s="87" t="str">
        <f>IF(SAISIE!$N$13&lt;&gt;"ok","",IF(SAISIE!AA133="","",SAISIE!AA133))</f>
        <v/>
      </c>
      <c r="O20" s="88" t="str">
        <f>IF(SAISIE!$N$13&lt;&gt;"ok","",IF(SAISIE!AE133="","",SAISIE!AE133))</f>
        <v/>
      </c>
      <c r="P20" s="110" t="str">
        <f>IF(SAISIE!$N$13&lt;&gt;"ok","",IF(SAISIE!X133="","",SAISIE!X133))</f>
        <v/>
      </c>
      <c r="Q20" s="111" t="str">
        <f>IF(SAISIE!$N$13&lt;&gt;"ok","",IF(SAISIE!AB133="","",SAISIE!AB133))</f>
        <v/>
      </c>
      <c r="R20" s="112" t="str">
        <f>IF(SAISIE!$N$13&lt;&gt;"ok","",IF(SAISIE!AF133="","",SAISIE!AF133))</f>
        <v/>
      </c>
    </row>
    <row r="21" spans="2:52" ht="15" customHeight="1" x14ac:dyDescent="0.25">
      <c r="B21" s="655" t="str">
        <f>SAISIE!C134</f>
        <v>dont Azote simple</v>
      </c>
      <c r="C21" s="656"/>
      <c r="D21" s="656"/>
      <c r="E21" s="657"/>
      <c r="F21" s="121" t="str">
        <f>IF(SAISIE!$N$13&lt;&gt;"ok","",IF(SAISIE!S134="","",SAISIE!S134))</f>
        <v/>
      </c>
      <c r="G21" s="138" t="str">
        <f>IF(SAISIE!$N$13&lt;&gt;"ok","",IF(SAISIE!T134="","",SAISIE!T134))</f>
        <v/>
      </c>
      <c r="H21" s="166" t="str">
        <f>IF(SAISIE!$N$13&lt;&gt;"ok","",IF(SAISIE!U134="","",SAISIE!U134))</f>
        <v/>
      </c>
      <c r="J21" s="98" t="str">
        <f>IF(SAISIE!$N$13&lt;&gt;"ok","",IF(SAISIE!V134="","",SAISIE!V134))</f>
        <v/>
      </c>
      <c r="K21" s="99" t="str">
        <f>IF(SAISIE!$N$13&lt;&gt;"ok","",IF(SAISIE!Z134="","",SAISIE!Z134))</f>
        <v/>
      </c>
      <c r="L21" s="100" t="str">
        <f>IF(SAISIE!$N$13&lt;&gt;"ok","",IF(SAISIE!AD134="","",SAISIE!AD134))</f>
        <v/>
      </c>
      <c r="M21" s="86" t="str">
        <f>IF(SAISIE!$N$13&lt;&gt;"ok","",IF(SAISIE!W134="","",SAISIE!W134))</f>
        <v/>
      </c>
      <c r="N21" s="87" t="str">
        <f>IF(SAISIE!$N$13&lt;&gt;"ok","",IF(SAISIE!AA134="","",SAISIE!AA134))</f>
        <v/>
      </c>
      <c r="O21" s="88" t="str">
        <f>IF(SAISIE!$N$13&lt;&gt;"ok","",IF(SAISIE!AE134="","",SAISIE!AE134))</f>
        <v/>
      </c>
      <c r="P21" s="110" t="str">
        <f>IF(SAISIE!$N$13&lt;&gt;"ok","",IF(SAISIE!X134="","",SAISIE!X134))</f>
        <v/>
      </c>
      <c r="Q21" s="111" t="str">
        <f>IF(SAISIE!$N$13&lt;&gt;"ok","",IF(SAISIE!AB134="","",SAISIE!AB134))</f>
        <v/>
      </c>
      <c r="R21" s="112" t="str">
        <f>IF(SAISIE!$N$13&lt;&gt;"ok","",IF(SAISIE!AF134="","",SAISIE!AF134))</f>
        <v/>
      </c>
    </row>
    <row r="22" spans="2:52" ht="15" customHeight="1" x14ac:dyDescent="0.25">
      <c r="B22" s="655" t="str">
        <f>SAISIE!C135</f>
        <v>Produits phytosanitaires</v>
      </c>
      <c r="C22" s="656"/>
      <c r="D22" s="656"/>
      <c r="E22" s="657"/>
      <c r="F22" s="121" t="str">
        <f>IF(SAISIE!$N$13&lt;&gt;"ok","",IF(SAISIE!S135="","",SAISIE!S135))</f>
        <v/>
      </c>
      <c r="G22" s="138" t="str">
        <f>IF(SAISIE!$N$13&lt;&gt;"ok","",IF(SAISIE!T135="","",SAISIE!T135))</f>
        <v/>
      </c>
      <c r="H22" s="166" t="str">
        <f>IF(SAISIE!$N$13&lt;&gt;"ok","",IF(SAISIE!U135="","",SAISIE!U135))</f>
        <v/>
      </c>
      <c r="J22" s="98" t="str">
        <f>IF(SAISIE!$N$13&lt;&gt;"ok","",IF(SAISIE!V135="","",SAISIE!V135))</f>
        <v/>
      </c>
      <c r="K22" s="99" t="str">
        <f>IF(SAISIE!$N$13&lt;&gt;"ok","",IF(SAISIE!Z135="","",SAISIE!Z135))</f>
        <v/>
      </c>
      <c r="L22" s="100" t="str">
        <f>IF(SAISIE!$N$13&lt;&gt;"ok","",IF(SAISIE!AD135="","",SAISIE!AD135))</f>
        <v/>
      </c>
      <c r="M22" s="86" t="str">
        <f>IF(SAISIE!$N$13&lt;&gt;"ok","",IF(SAISIE!W135="","",SAISIE!W135))</f>
        <v/>
      </c>
      <c r="N22" s="87" t="str">
        <f>IF(SAISIE!$N$13&lt;&gt;"ok","",IF(SAISIE!AA135="","",SAISIE!AA135))</f>
        <v/>
      </c>
      <c r="O22" s="88" t="str">
        <f>IF(SAISIE!$N$13&lt;&gt;"ok","",IF(SAISIE!AE135="","",SAISIE!AE135))</f>
        <v/>
      </c>
      <c r="P22" s="110" t="str">
        <f>IF(SAISIE!$N$13&lt;&gt;"ok","",IF(SAISIE!X135="","",SAISIE!X135))</f>
        <v/>
      </c>
      <c r="Q22" s="111" t="str">
        <f>IF(SAISIE!$N$13&lt;&gt;"ok","",IF(SAISIE!AB135="","",SAISIE!AB135))</f>
        <v/>
      </c>
      <c r="R22" s="112" t="str">
        <f>IF(SAISIE!$N$13&lt;&gt;"ok","",IF(SAISIE!AF135="","",SAISIE!AF135))</f>
        <v/>
      </c>
    </row>
    <row r="23" spans="2:52" ht="15" customHeight="1" x14ac:dyDescent="0.25">
      <c r="B23" s="655" t="str">
        <f>SAISIE!C136</f>
        <v>Irrigation (redevance+énergie)</v>
      </c>
      <c r="C23" s="656"/>
      <c r="D23" s="656"/>
      <c r="E23" s="657"/>
      <c r="F23" s="121" t="str">
        <f>IF(SAISIE!$N$13&lt;&gt;"ok","",IF(SAISIE!S136="","",SAISIE!S136))</f>
        <v/>
      </c>
      <c r="G23" s="138" t="str">
        <f>IF(SAISIE!$N$13&lt;&gt;"ok","",IF(SAISIE!T136="","",SAISIE!T136))</f>
        <v/>
      </c>
      <c r="H23" s="166" t="str">
        <f>IF(SAISIE!$N$13&lt;&gt;"ok","",IF(SAISIE!U136="","",SAISIE!U136))</f>
        <v/>
      </c>
      <c r="J23" s="98" t="str">
        <f>IF(SAISIE!$N$13&lt;&gt;"ok","",IF(SAISIE!V136="","",SAISIE!V136))</f>
        <v/>
      </c>
      <c r="K23" s="99" t="str">
        <f>IF(SAISIE!$N$13&lt;&gt;"ok","",IF(SAISIE!Z136="","",SAISIE!Z136))</f>
        <v/>
      </c>
      <c r="L23" s="100" t="str">
        <f>IF(SAISIE!$N$13&lt;&gt;"ok","",IF(SAISIE!AD136="","",SAISIE!AD136))</f>
        <v/>
      </c>
      <c r="M23" s="86" t="str">
        <f>IF(SAISIE!$N$13&lt;&gt;"ok","",IF(SAISIE!W136="","",SAISIE!W136))</f>
        <v/>
      </c>
      <c r="N23" s="87" t="str">
        <f>IF(SAISIE!$N$13&lt;&gt;"ok","",IF(SAISIE!AA136="","",SAISIE!AA136))</f>
        <v/>
      </c>
      <c r="O23" s="88" t="str">
        <f>IF(SAISIE!$N$13&lt;&gt;"ok","",IF(SAISIE!AE136="","",SAISIE!AE136))</f>
        <v/>
      </c>
      <c r="P23" s="110" t="str">
        <f>IF(SAISIE!$N$13&lt;&gt;"ok","",IF(SAISIE!X136="","",SAISIE!X136))</f>
        <v/>
      </c>
      <c r="Q23" s="111" t="str">
        <f>IF(SAISIE!$N$13&lt;&gt;"ok","",IF(SAISIE!AB136="","",SAISIE!AB136))</f>
        <v/>
      </c>
      <c r="R23" s="112" t="str">
        <f>IF(SAISIE!$N$13&lt;&gt;"ok","",IF(SAISIE!AF136="","",SAISIE!AF136))</f>
        <v/>
      </c>
    </row>
    <row r="24" spans="2:52" ht="15" customHeight="1" x14ac:dyDescent="0.25">
      <c r="B24" s="655" t="str">
        <f>SAISIE!C137</f>
        <v>Autres intrants</v>
      </c>
      <c r="C24" s="656"/>
      <c r="D24" s="656"/>
      <c r="E24" s="657"/>
      <c r="F24" s="121" t="str">
        <f>IF(SAISIE!$N$13&lt;&gt;"ok","",IF(SAISIE!S137="","",SAISIE!S137))</f>
        <v/>
      </c>
      <c r="G24" s="138" t="str">
        <f>IF(SAISIE!$N$13&lt;&gt;"ok","",IF(SAISIE!T137="","",SAISIE!T137))</f>
        <v/>
      </c>
      <c r="H24" s="166" t="str">
        <f>IF(SAISIE!$N$13&lt;&gt;"ok","",IF(SAISIE!U137="","",SAISIE!U137))</f>
        <v/>
      </c>
      <c r="J24" s="98" t="str">
        <f>IF(SAISIE!$N$13&lt;&gt;"ok","",IF(SAISIE!V137="","",SAISIE!V137))</f>
        <v/>
      </c>
      <c r="K24" s="99" t="str">
        <f>IF(SAISIE!$N$13&lt;&gt;"ok","",IF(SAISIE!Z137="","",SAISIE!Z137))</f>
        <v/>
      </c>
      <c r="L24" s="100" t="str">
        <f>IF(SAISIE!$N$13&lt;&gt;"ok","",IF(SAISIE!AD137="","",SAISIE!AD137))</f>
        <v/>
      </c>
      <c r="M24" s="86" t="str">
        <f>IF(SAISIE!$N$13&lt;&gt;"ok","",IF(SAISIE!W137="","",SAISIE!W137))</f>
        <v/>
      </c>
      <c r="N24" s="87" t="str">
        <f>IF(SAISIE!$N$13&lt;&gt;"ok","",IF(SAISIE!AA137="","",SAISIE!AA137))</f>
        <v/>
      </c>
      <c r="O24" s="88" t="str">
        <f>IF(SAISIE!$N$13&lt;&gt;"ok","",IF(SAISIE!AE137="","",SAISIE!AE137))</f>
        <v/>
      </c>
      <c r="P24" s="110" t="str">
        <f>IF(SAISIE!$N$13&lt;&gt;"ok","",IF(SAISIE!X137="","",SAISIE!X137))</f>
        <v/>
      </c>
      <c r="Q24" s="111" t="str">
        <f>IF(SAISIE!$N$13&lt;&gt;"ok","",IF(SAISIE!AB137="","",SAISIE!AB137))</f>
        <v/>
      </c>
      <c r="R24" s="112" t="str">
        <f>IF(SAISIE!$N$13&lt;&gt;"ok","",IF(SAISIE!AF137="","",SAISIE!AF137))</f>
        <v/>
      </c>
    </row>
    <row r="25" spans="2:52" ht="15" customHeight="1" x14ac:dyDescent="0.25">
      <c r="B25" s="655" t="str">
        <f>SAISIE!C138</f>
        <v>Séchage</v>
      </c>
      <c r="C25" s="656"/>
      <c r="D25" s="656"/>
      <c r="E25" s="657"/>
      <c r="F25" s="121" t="str">
        <f>IF(SAISIE!$N$13&lt;&gt;"ok","",IF(SAISIE!S138="","",SAISIE!S138))</f>
        <v/>
      </c>
      <c r="G25" s="138" t="str">
        <f>IF(SAISIE!$N$13&lt;&gt;"ok","",IF(SAISIE!T138="","",SAISIE!T138))</f>
        <v/>
      </c>
      <c r="H25" s="166" t="str">
        <f>IF(SAISIE!$N$13&lt;&gt;"ok","",IF(SAISIE!U138="","",SAISIE!U138))</f>
        <v/>
      </c>
      <c r="J25" s="98" t="str">
        <f>IF(SAISIE!$N$13&lt;&gt;"ok","",IF(SAISIE!V138="","",SAISIE!V138))</f>
        <v/>
      </c>
      <c r="K25" s="99" t="str">
        <f>IF(SAISIE!$N$13&lt;&gt;"ok","",IF(SAISIE!Z138="","",SAISIE!Z138))</f>
        <v/>
      </c>
      <c r="L25" s="100" t="str">
        <f>IF(SAISIE!$N$13&lt;&gt;"ok","",IF(SAISIE!AD138="","",SAISIE!AD138))</f>
        <v/>
      </c>
      <c r="M25" s="86" t="str">
        <f>IF(SAISIE!$N$13&lt;&gt;"ok","",IF(SAISIE!W138="","",SAISIE!W138))</f>
        <v/>
      </c>
      <c r="N25" s="87" t="str">
        <f>IF(SAISIE!$N$13&lt;&gt;"ok","",IF(SAISIE!AA138="","",SAISIE!AA138))</f>
        <v/>
      </c>
      <c r="O25" s="88" t="str">
        <f>IF(SAISIE!$N$13&lt;&gt;"ok","",IF(SAISIE!AE138="","",SAISIE!AE138))</f>
        <v/>
      </c>
      <c r="P25" s="110" t="str">
        <f>IF(SAISIE!$N$13&lt;&gt;"ok","",IF(SAISIE!X138="","",SAISIE!X138))</f>
        <v/>
      </c>
      <c r="Q25" s="111" t="str">
        <f>IF(SAISIE!$N$13&lt;&gt;"ok","",IF(SAISIE!AB138="","",SAISIE!AB138))</f>
        <v/>
      </c>
      <c r="R25" s="112" t="str">
        <f>IF(SAISIE!$N$13&lt;&gt;"ok","",IF(SAISIE!AF138="","",SAISIE!AF138))</f>
        <v/>
      </c>
    </row>
    <row r="26" spans="2:52" ht="15" customHeight="1" x14ac:dyDescent="0.25">
      <c r="B26" s="655" t="str">
        <f>SAISIE!C139</f>
        <v>Stockage (énergie)</v>
      </c>
      <c r="C26" s="656"/>
      <c r="D26" s="656"/>
      <c r="E26" s="657"/>
      <c r="F26" s="121" t="str">
        <f>IF(SAISIE!$N$13&lt;&gt;"ok","",IF(SAISIE!S139="","",SAISIE!S139))</f>
        <v/>
      </c>
      <c r="G26" s="138" t="str">
        <f>IF(SAISIE!$N$13&lt;&gt;"ok","",IF(SAISIE!T139="","",SAISIE!T139))</f>
        <v/>
      </c>
      <c r="H26" s="166" t="str">
        <f>IF(SAISIE!$N$13&lt;&gt;"ok","",IF(SAISIE!U139="","",SAISIE!U139))</f>
        <v/>
      </c>
      <c r="J26" s="98" t="str">
        <f>IF(SAISIE!$N$13&lt;&gt;"ok","",IF(SAISIE!V139="","",SAISIE!V139))</f>
        <v/>
      </c>
      <c r="K26" s="99" t="str">
        <f>IF(SAISIE!$N$13&lt;&gt;"ok","",IF(SAISIE!Z139="","",SAISIE!Z139))</f>
        <v/>
      </c>
      <c r="L26" s="100" t="str">
        <f>IF(SAISIE!$N$13&lt;&gt;"ok","",IF(SAISIE!AD139="","",SAISIE!AD139))</f>
        <v/>
      </c>
      <c r="M26" s="86" t="str">
        <f>IF(SAISIE!$N$13&lt;&gt;"ok","",IF(SAISIE!W139="","",SAISIE!W139))</f>
        <v/>
      </c>
      <c r="N26" s="87" t="str">
        <f>IF(SAISIE!$N$13&lt;&gt;"ok","",IF(SAISIE!AA139="","",SAISIE!AA139))</f>
        <v/>
      </c>
      <c r="O26" s="88" t="str">
        <f>IF(SAISIE!$N$13&lt;&gt;"ok","",IF(SAISIE!AE139="","",SAISIE!AE139))</f>
        <v/>
      </c>
      <c r="P26" s="110" t="str">
        <f>IF(SAISIE!$N$13&lt;&gt;"ok","",IF(SAISIE!X139="","",SAISIE!X139))</f>
        <v/>
      </c>
      <c r="Q26" s="111" t="str">
        <f>IF(SAISIE!$N$13&lt;&gt;"ok","",IF(SAISIE!AB139="","",SAISIE!AB139))</f>
        <v/>
      </c>
      <c r="R26" s="112" t="str">
        <f>IF(SAISIE!$N$13&lt;&gt;"ok","",IF(SAISIE!AF139="","",SAISIE!AF139))</f>
        <v/>
      </c>
    </row>
    <row r="27" spans="2:52" ht="15" customHeight="1" x14ac:dyDescent="0.25">
      <c r="B27" s="655" t="str">
        <f>SAISIE!C140</f>
        <v>Carburant</v>
      </c>
      <c r="C27" s="656"/>
      <c r="D27" s="656"/>
      <c r="E27" s="657"/>
      <c r="F27" s="121" t="str">
        <f>IF(SAISIE!$N$13&lt;&gt;"ok","",IF(SAISIE!S140="","",SAISIE!S140))</f>
        <v/>
      </c>
      <c r="G27" s="138" t="str">
        <f>IF(SAISIE!$N$13&lt;&gt;"ok","",IF(SAISIE!T140="","",SAISIE!T140))</f>
        <v/>
      </c>
      <c r="H27" s="166" t="str">
        <f>IF(SAISIE!$N$13&lt;&gt;"ok","",IF(SAISIE!U140="","",SAISIE!U140))</f>
        <v/>
      </c>
      <c r="J27" s="98" t="str">
        <f>IF(SAISIE!$N$13&lt;&gt;"ok","",IF(SAISIE!V140="","",SAISIE!V140))</f>
        <v/>
      </c>
      <c r="K27" s="99" t="str">
        <f>IF(SAISIE!$N$13&lt;&gt;"ok","",IF(SAISIE!Z140="","",SAISIE!Z140))</f>
        <v/>
      </c>
      <c r="L27" s="100" t="str">
        <f>IF(SAISIE!$N$13&lt;&gt;"ok","",IF(SAISIE!AD140="","",SAISIE!AD140))</f>
        <v/>
      </c>
      <c r="M27" s="86" t="str">
        <f>IF(SAISIE!$N$13&lt;&gt;"ok","",IF(SAISIE!W140="","",SAISIE!W140))</f>
        <v/>
      </c>
      <c r="N27" s="87" t="str">
        <f>IF(SAISIE!$N$13&lt;&gt;"ok","",IF(SAISIE!AA140="","",SAISIE!AA140))</f>
        <v/>
      </c>
      <c r="O27" s="88" t="str">
        <f>IF(SAISIE!$N$13&lt;&gt;"ok","",IF(SAISIE!AE140="","",SAISIE!AE140))</f>
        <v/>
      </c>
      <c r="P27" s="110" t="str">
        <f>IF(SAISIE!$N$13&lt;&gt;"ok","",IF(SAISIE!X140="","",SAISIE!X140))</f>
        <v/>
      </c>
      <c r="Q27" s="111" t="str">
        <f>IF(SAISIE!$N$13&lt;&gt;"ok","",IF(SAISIE!AB140="","",SAISIE!AB140))</f>
        <v/>
      </c>
      <c r="R27" s="112" t="str">
        <f>IF(SAISIE!$N$13&lt;&gt;"ok","",IF(SAISIE!AF140="","",SAISIE!AF140))</f>
        <v/>
      </c>
    </row>
    <row r="28" spans="2:52" ht="15" customHeight="1" x14ac:dyDescent="0.25">
      <c r="B28" s="655" t="str">
        <f>SAISIE!C141</f>
        <v>Entretien-réparation</v>
      </c>
      <c r="C28" s="656"/>
      <c r="D28" s="656"/>
      <c r="E28" s="657"/>
      <c r="F28" s="121" t="str">
        <f>IF(SAISIE!$N$13&lt;&gt;"ok","",IF(SAISIE!S141="","",SAISIE!S141))</f>
        <v/>
      </c>
      <c r="G28" s="138" t="str">
        <f>IF(SAISIE!$N$13&lt;&gt;"ok","",IF(SAISIE!T141="","",SAISIE!T141))</f>
        <v/>
      </c>
      <c r="H28" s="166" t="str">
        <f>IF(SAISIE!$N$13&lt;&gt;"ok","",IF(SAISIE!U141="","",SAISIE!U141))</f>
        <v/>
      </c>
      <c r="J28" s="98" t="str">
        <f>IF(SAISIE!$N$13&lt;&gt;"ok","",IF(SAISIE!V141="","",SAISIE!V141))</f>
        <v/>
      </c>
      <c r="K28" s="99" t="str">
        <f>IF(SAISIE!$N$13&lt;&gt;"ok","",IF(SAISIE!Z141="","",SAISIE!Z141))</f>
        <v/>
      </c>
      <c r="L28" s="100" t="str">
        <f>IF(SAISIE!$N$13&lt;&gt;"ok","",IF(SAISIE!AD141="","",SAISIE!AD141))</f>
        <v/>
      </c>
      <c r="M28" s="86" t="str">
        <f>IF(SAISIE!$N$13&lt;&gt;"ok","",IF(SAISIE!W141="","",SAISIE!W141))</f>
        <v/>
      </c>
      <c r="N28" s="87" t="str">
        <f>IF(SAISIE!$N$13&lt;&gt;"ok","",IF(SAISIE!AA141="","",SAISIE!AA141))</f>
        <v/>
      </c>
      <c r="O28" s="88" t="str">
        <f>IF(SAISIE!$N$13&lt;&gt;"ok","",IF(SAISIE!AE141="","",SAISIE!AE141))</f>
        <v/>
      </c>
      <c r="P28" s="110" t="str">
        <f>IF(SAISIE!$N$13&lt;&gt;"ok","",IF(SAISIE!X141="","",SAISIE!X141))</f>
        <v/>
      </c>
      <c r="Q28" s="111" t="str">
        <f>IF(SAISIE!$N$13&lt;&gt;"ok","",IF(SAISIE!AB141="","",SAISIE!AB141))</f>
        <v/>
      </c>
      <c r="R28" s="112" t="str">
        <f>IF(SAISIE!$N$13&lt;&gt;"ok","",IF(SAISIE!AF141="","",SAISIE!AF141))</f>
        <v/>
      </c>
    </row>
    <row r="29" spans="2:52" ht="15" customHeight="1" x14ac:dyDescent="0.25">
      <c r="B29" s="655" t="str">
        <f>SAISIE!C142</f>
        <v>Travaux par tiers</v>
      </c>
      <c r="C29" s="656"/>
      <c r="D29" s="656"/>
      <c r="E29" s="657"/>
      <c r="F29" s="121" t="str">
        <f>IF(SAISIE!$N$13&lt;&gt;"ok","",IF(SAISIE!S142="","",SAISIE!S142))</f>
        <v/>
      </c>
      <c r="G29" s="138" t="str">
        <f>IF(SAISIE!$N$13&lt;&gt;"ok","",IF(SAISIE!T142="","",SAISIE!T142))</f>
        <v/>
      </c>
      <c r="H29" s="166" t="str">
        <f>IF(SAISIE!$N$13&lt;&gt;"ok","",IF(SAISIE!U142="","",SAISIE!U142))</f>
        <v/>
      </c>
      <c r="J29" s="98" t="str">
        <f>IF(SAISIE!$N$13&lt;&gt;"ok","",IF(SAISIE!V142="","",SAISIE!V142))</f>
        <v/>
      </c>
      <c r="K29" s="99" t="str">
        <f>IF(SAISIE!$N$13&lt;&gt;"ok","",IF(SAISIE!Z142="","",SAISIE!Z142))</f>
        <v/>
      </c>
      <c r="L29" s="100" t="str">
        <f>IF(SAISIE!$N$13&lt;&gt;"ok","",IF(SAISIE!AD142="","",SAISIE!AD142))</f>
        <v/>
      </c>
      <c r="M29" s="86" t="str">
        <f>IF(SAISIE!$N$13&lt;&gt;"ok","",IF(SAISIE!W142="","",SAISIE!W142))</f>
        <v/>
      </c>
      <c r="N29" s="87" t="str">
        <f>IF(SAISIE!$N$13&lt;&gt;"ok","",IF(SAISIE!AA142="","",SAISIE!AA142))</f>
        <v/>
      </c>
      <c r="O29" s="88" t="str">
        <f>IF(SAISIE!$N$13&lt;&gt;"ok","",IF(SAISIE!AE142="","",SAISIE!AE142))</f>
        <v/>
      </c>
      <c r="P29" s="110" t="str">
        <f>IF(SAISIE!$N$13&lt;&gt;"ok","",IF(SAISIE!X142="","",SAISIE!X142))</f>
        <v/>
      </c>
      <c r="Q29" s="111" t="str">
        <f>IF(SAISIE!$N$13&lt;&gt;"ok","",IF(SAISIE!AB142="","",SAISIE!AB142))</f>
        <v/>
      </c>
      <c r="R29" s="112" t="str">
        <f>IF(SAISIE!$N$13&lt;&gt;"ok","",IF(SAISIE!AF142="","",SAISIE!AF142))</f>
        <v/>
      </c>
    </row>
    <row r="30" spans="2:52" ht="15" customHeight="1" x14ac:dyDescent="0.25">
      <c r="B30" s="655" t="str">
        <f>SAISIE!C143</f>
        <v>Autres charges (1)</v>
      </c>
      <c r="C30" s="656"/>
      <c r="D30" s="656"/>
      <c r="E30" s="657"/>
      <c r="F30" s="123" t="str">
        <f>IF(SAISIE!$N$13&lt;&gt;"ok","",IF(SAISIE!S143="","",SAISIE!S143))</f>
        <v/>
      </c>
      <c r="G30" s="139" t="str">
        <f>IF(SAISIE!$N$13&lt;&gt;"ok","",IF(SAISIE!T143="","",SAISIE!T143))</f>
        <v/>
      </c>
      <c r="H30" s="167" t="str">
        <f>IF(SAISIE!$N$13&lt;&gt;"ok","",IF(SAISIE!U143="","",SAISIE!U143))</f>
        <v/>
      </c>
      <c r="J30" s="129" t="str">
        <f>IF(SAISIE!$N$13&lt;&gt;"ok","",IF(SAISIE!V143="","",SAISIE!V143))</f>
        <v/>
      </c>
      <c r="K30" s="130" t="str">
        <f>IF(SAISIE!$N$13&lt;&gt;"ok","",IF(SAISIE!Z143="","",SAISIE!Z143))</f>
        <v/>
      </c>
      <c r="L30" s="131" t="str">
        <f>IF(SAISIE!$N$13&lt;&gt;"ok","",IF(SAISIE!AD143="","",SAISIE!AD143))</f>
        <v/>
      </c>
      <c r="M30" s="145" t="str">
        <f>IF(SAISIE!$N$13&lt;&gt;"ok","",IF(SAISIE!W143="","",SAISIE!W143))</f>
        <v/>
      </c>
      <c r="N30" s="146" t="str">
        <f>IF(SAISIE!$N$13&lt;&gt;"ok","",IF(SAISIE!AA143="","",SAISIE!AA143))</f>
        <v/>
      </c>
      <c r="O30" s="147" t="str">
        <f>IF(SAISIE!$N$13&lt;&gt;"ok","",IF(SAISIE!AE143="","",SAISIE!AE143))</f>
        <v/>
      </c>
      <c r="P30" s="157" t="str">
        <f>IF(SAISIE!$N$13&lt;&gt;"ok","",IF(SAISIE!X143="","",SAISIE!X143))</f>
        <v/>
      </c>
      <c r="Q30" s="158" t="str">
        <f>IF(SAISIE!$N$13&lt;&gt;"ok","",IF(SAISIE!AB143="","",SAISIE!AB143))</f>
        <v/>
      </c>
      <c r="R30" s="159" t="str">
        <f>IF(SAISIE!$N$13&lt;&gt;"ok","",IF(SAISIE!AF143="","",SAISIE!AF143))</f>
        <v/>
      </c>
    </row>
    <row r="31" spans="2:52" ht="15" customHeight="1" thickBot="1" x14ac:dyDescent="0.3">
      <c r="B31" s="683" t="str">
        <f>SAISIE!C144</f>
        <v>Rémunération de la MO familiale</v>
      </c>
      <c r="C31" s="684"/>
      <c r="D31" s="684"/>
      <c r="E31" s="685"/>
      <c r="F31" s="124" t="str">
        <f>IF(SAISIE!$N$13&lt;&gt;"ok","",IF(SAISIE!S144="","",SAISIE!S144))</f>
        <v/>
      </c>
      <c r="G31" s="140" t="str">
        <f>IF(SAISIE!$N$13&lt;&gt;"ok","",IF(SAISIE!T144="","",SAISIE!T144))</f>
        <v/>
      </c>
      <c r="H31" s="168" t="str">
        <f>IF(SAISIE!$N$13&lt;&gt;"ok","",IF(SAISIE!U144="","",SAISIE!U144))</f>
        <v/>
      </c>
      <c r="J31" s="132" t="str">
        <f>IF(SAISIE!$N$13&lt;&gt;"ok","",IF(SAISIE!V144="","",SAISIE!V144))</f>
        <v/>
      </c>
      <c r="K31" s="133" t="str">
        <f>IF(SAISIE!$N$13&lt;&gt;"ok","",IF(SAISIE!Z144="","",SAISIE!Z144))</f>
        <v/>
      </c>
      <c r="L31" s="134" t="str">
        <f>IF(SAISIE!$N$13&lt;&gt;"ok","",IF(SAISIE!AD144="","",SAISIE!AD144))</f>
        <v/>
      </c>
      <c r="M31" s="148" t="str">
        <f>IF(SAISIE!$N$13&lt;&gt;"ok","",IF(SAISIE!W144="","",SAISIE!W144))</f>
        <v/>
      </c>
      <c r="N31" s="149" t="str">
        <f>IF(SAISIE!$N$13&lt;&gt;"ok","",IF(SAISIE!AA144="","",SAISIE!AA144))</f>
        <v/>
      </c>
      <c r="O31" s="150" t="str">
        <f>IF(SAISIE!$N$13&lt;&gt;"ok","",IF(SAISIE!AE144="","",SAISIE!AE144))</f>
        <v/>
      </c>
      <c r="P31" s="160" t="str">
        <f>IF(SAISIE!$N$13&lt;&gt;"ok","",IF(SAISIE!X144="","",SAISIE!X144))</f>
        <v/>
      </c>
      <c r="Q31" s="161" t="str">
        <f>IF(SAISIE!$N$13&lt;&gt;"ok","",IF(SAISIE!AB144="","",SAISIE!AB144))</f>
        <v/>
      </c>
      <c r="R31" s="162" t="str">
        <f>IF(SAISIE!$N$13&lt;&gt;"ok","",IF(SAISIE!AF144="","",SAISIE!AF144))</f>
        <v/>
      </c>
    </row>
    <row r="32" spans="2:52" ht="15.75" customHeight="1" thickTop="1" x14ac:dyDescent="0.25">
      <c r="B32" s="661" t="str">
        <f>SAISIE!C156</f>
        <v>Total des charges</v>
      </c>
      <c r="C32" s="662"/>
      <c r="D32" s="662"/>
      <c r="E32" s="663"/>
      <c r="F32" s="121" t="str">
        <f>IF(SAISIE!$N$13&lt;&gt;"ok","",IF(SAISIE!S156="","",SAISIE!S156))</f>
        <v/>
      </c>
      <c r="G32" s="138" t="str">
        <f>IF(SAISIE!$N$13&lt;&gt;"ok","",IF(SAISIE!T156="","",SAISIE!T156))</f>
        <v/>
      </c>
      <c r="H32" s="166" t="str">
        <f>IF(SAISIE!$N$13&lt;&gt;"ok","",IF(SAISIE!U156="","",SAISIE!U156))</f>
        <v/>
      </c>
      <c r="J32" s="126" t="str">
        <f>IF(SAISIE!$N$13&lt;&gt;"ok","",IF(SAISIE!V156="","",SAISIE!V156))</f>
        <v/>
      </c>
      <c r="K32" s="127" t="str">
        <f>IF(SAISIE!$N$13&lt;&gt;"ok","",IF(SAISIE!Z156="","",SAISIE!Z156))</f>
        <v/>
      </c>
      <c r="L32" s="128" t="str">
        <f>IF(SAISIE!$N$13&lt;&gt;"ok","",IF(SAISIE!AD156="","",SAISIE!AD156))</f>
        <v/>
      </c>
      <c r="M32" s="142" t="str">
        <f>IF(SAISIE!$N$13&lt;&gt;"ok","",IF(SAISIE!W156="","",SAISIE!W156))</f>
        <v/>
      </c>
      <c r="N32" s="143" t="str">
        <f>IF(SAISIE!$N$13&lt;&gt;"ok","",IF(SAISIE!AA156="","",SAISIE!AA156))</f>
        <v/>
      </c>
      <c r="O32" s="144" t="str">
        <f>IF(SAISIE!$N$13&lt;&gt;"ok","",IF(SAISIE!AE156="","",SAISIE!AE156))</f>
        <v/>
      </c>
      <c r="P32" s="154" t="str">
        <f>IF(SAISIE!$N$13&lt;&gt;"ok","",IF(SAISIE!X156="","",SAISIE!X156))</f>
        <v/>
      </c>
      <c r="Q32" s="155" t="str">
        <f>IF(SAISIE!$N$13&lt;&gt;"ok","",IF(SAISIE!AB156="","",SAISIE!AB156))</f>
        <v/>
      </c>
      <c r="R32" s="156" t="str">
        <f>IF(SAISIE!$N$13&lt;&gt;"ok","",IF(SAISIE!AF156="","",SAISIE!AF156))</f>
        <v/>
      </c>
    </row>
    <row r="33" spans="2:87" ht="15.75" customHeight="1" thickBot="1" x14ac:dyDescent="0.3">
      <c r="B33" s="676" t="str">
        <f>SAISIE!C157</f>
        <v>Total des charges - aides</v>
      </c>
      <c r="C33" s="677"/>
      <c r="D33" s="677"/>
      <c r="E33" s="678"/>
      <c r="F33" s="125" t="str">
        <f>IF(SAISIE!$N$13&lt;&gt;"ok","",IF(SAISIE!S157="","",SAISIE!S157))</f>
        <v/>
      </c>
      <c r="G33" s="141" t="str">
        <f>IF(SAISIE!$N$13&lt;&gt;"ok","",IF(SAISIE!T157="","",SAISIE!T157))</f>
        <v/>
      </c>
      <c r="H33" s="169" t="str">
        <f>IF(SAISIE!$N$13&lt;&gt;"ok","",IF(SAISIE!U157="","",SAISIE!U157))</f>
        <v/>
      </c>
      <c r="J33" s="135" t="str">
        <f>IF(SAISIE!$N$13&lt;&gt;"ok","",IF(SAISIE!V157="","",SAISIE!V157))</f>
        <v/>
      </c>
      <c r="K33" s="136" t="str">
        <f>IF(SAISIE!$N$13&lt;&gt;"ok","",IF(SAISIE!Z157="","",SAISIE!Z157))</f>
        <v/>
      </c>
      <c r="L33" s="137" t="str">
        <f>IF(SAISIE!$N$13&lt;&gt;"ok","",IF(SAISIE!AD157="","",SAISIE!AD157))</f>
        <v/>
      </c>
      <c r="M33" s="151" t="str">
        <f>IF(SAISIE!$N$13&lt;&gt;"ok","",IF(SAISIE!W157="","",SAISIE!W157))</f>
        <v/>
      </c>
      <c r="N33" s="152" t="str">
        <f>IF(SAISIE!$N$13&lt;&gt;"ok","",IF(SAISIE!AA157="","",SAISIE!AA157))</f>
        <v/>
      </c>
      <c r="O33" s="153" t="str">
        <f>IF(SAISIE!$N$13&lt;&gt;"ok","",IF(SAISIE!AE157="","",SAISIE!AE157))</f>
        <v/>
      </c>
      <c r="P33" s="163" t="str">
        <f>IF(SAISIE!$N$13&lt;&gt;"ok","",IF(SAISIE!X157="","",SAISIE!X157))</f>
        <v/>
      </c>
      <c r="Q33" s="164" t="str">
        <f>IF(SAISIE!$N$13&lt;&gt;"ok","",IF(SAISIE!AB157="","",SAISIE!AB157))</f>
        <v/>
      </c>
      <c r="R33" s="165" t="str">
        <f>IF(SAISIE!$N$13&lt;&gt;"ok","",IF(SAISIE!AF157="","",SAISIE!AF157))</f>
        <v/>
      </c>
    </row>
    <row r="34" spans="2:87" ht="15.75" customHeight="1" x14ac:dyDescent="0.25">
      <c r="B34" s="634" t="s">
        <v>103</v>
      </c>
      <c r="C34" s="634"/>
      <c r="D34" s="634"/>
      <c r="E34" s="634"/>
      <c r="F34" s="634"/>
      <c r="G34" s="81" t="str">
        <f>IF(SAISIE!F161="","",IF(SAISIE!F161&gt;0,CONCATENATE("+",ROUND(SAISIE!F161*100,0),"%"),SAISIE!F161))</f>
        <v/>
      </c>
      <c r="H34" s="81" t="str">
        <f>IF(SAISIE!G161="","",IF(SAISIE!G161&gt;0,CONCATENATE("+",ROUND(SAISIE!G161*100,0),"%"),SAISIE!G161))</f>
        <v/>
      </c>
      <c r="J34" s="69"/>
      <c r="K34" s="69"/>
      <c r="L34" s="1"/>
      <c r="M34" s="67" t="str">
        <f>IF(SAISIE!I161="","",IF(SAISIE!I161&gt;0,CONCATENATE("+",ROUND(SAISIE!I161*100,0),"%"),SAISIE!I161))</f>
        <v/>
      </c>
      <c r="N34" s="82"/>
      <c r="O34" s="82"/>
      <c r="P34" s="67" t="str">
        <f>IF(SAISIE!J161="","",IF(SAISIE!J161&gt;0,CONCATENATE("+",ROUND(SAISIE!J161*100,0),"%"),SAISIE!J161))</f>
        <v/>
      </c>
      <c r="Q34" s="82"/>
      <c r="R34" s="82"/>
    </row>
    <row r="35" spans="2:87" ht="15.75" customHeight="1" x14ac:dyDescent="0.25">
      <c r="B35" s="621" t="str">
        <f>CONCATENATE("(Par rapport à ",F15,")")</f>
        <v>(Par rapport à )</v>
      </c>
      <c r="C35" s="621"/>
      <c r="D35" s="621"/>
      <c r="E35" s="621"/>
      <c r="F35" s="621"/>
      <c r="CI35" s="68"/>
    </row>
    <row r="36" spans="2:87" ht="15" customHeight="1" x14ac:dyDescent="0.25">
      <c r="K36" s="1"/>
      <c r="L36" s="1"/>
      <c r="M36" s="1"/>
      <c r="P36" s="59"/>
      <c r="Q36" s="59"/>
      <c r="R36" s="59"/>
      <c r="CI36" s="68"/>
    </row>
    <row r="37" spans="2:87" ht="15" customHeight="1" thickBot="1" x14ac:dyDescent="0.3">
      <c r="K37" s="1"/>
      <c r="L37" s="1"/>
      <c r="M37" s="1"/>
    </row>
    <row r="38" spans="2:87" ht="15" customHeight="1" x14ac:dyDescent="0.25">
      <c r="J38" s="631" t="str">
        <f>IF(SAISIE!V128="","",SAISIE!V128)</f>
        <v/>
      </c>
      <c r="K38" s="632"/>
      <c r="L38" s="633"/>
      <c r="M38" s="637" t="str">
        <f>IF(SAISIE!W128="","",SAISIE!W128)</f>
        <v/>
      </c>
      <c r="N38" s="638"/>
      <c r="O38" s="639"/>
      <c r="P38" s="648" t="str">
        <f>IF(SAISIE!X128="","",SAISIE!X128)</f>
        <v/>
      </c>
      <c r="Q38" s="649"/>
      <c r="R38" s="650"/>
      <c r="U38" s="647" t="str">
        <f>SAISIE!G199</f>
        <v/>
      </c>
      <c r="V38" s="647"/>
      <c r="W38" s="647"/>
      <c r="X38" s="647"/>
      <c r="Y38" s="647"/>
      <c r="Z38" s="647"/>
      <c r="AA38" s="647"/>
      <c r="AB38" s="647"/>
      <c r="AC38" s="647"/>
      <c r="AD38" s="647"/>
      <c r="AE38" s="647"/>
      <c r="AF38" s="647"/>
      <c r="AG38" s="647"/>
      <c r="AH38" s="647"/>
      <c r="AI38" s="647"/>
      <c r="AJ38" s="647"/>
      <c r="AK38" s="647"/>
      <c r="AL38" s="647"/>
      <c r="AM38" s="647"/>
      <c r="AN38" s="647"/>
      <c r="AO38" s="647"/>
      <c r="AP38" s="647"/>
      <c r="AQ38" s="647"/>
      <c r="AR38" s="647"/>
      <c r="AS38" s="647"/>
      <c r="AT38" s="647"/>
      <c r="AU38" s="647"/>
      <c r="AV38" s="647"/>
      <c r="AW38" s="647"/>
      <c r="AX38" s="647"/>
      <c r="AY38" s="647"/>
      <c r="AZ38" s="647"/>
      <c r="BA38" s="647"/>
      <c r="BB38" s="647"/>
      <c r="BC38" s="647"/>
      <c r="BD38" s="647"/>
      <c r="BE38" s="647"/>
      <c r="BF38" s="647"/>
      <c r="BG38" s="647"/>
      <c r="BH38" s="647"/>
      <c r="BI38" s="647"/>
      <c r="BJ38" s="647"/>
      <c r="BK38" s="647"/>
      <c r="BL38" s="647"/>
      <c r="BM38" s="647"/>
    </row>
    <row r="39" spans="2:87" ht="15" customHeight="1" x14ac:dyDescent="0.25">
      <c r="J39" s="619" t="s">
        <v>162</v>
      </c>
      <c r="K39" s="635" t="s">
        <v>95</v>
      </c>
      <c r="L39" s="640" t="s">
        <v>96</v>
      </c>
      <c r="M39" s="619" t="s">
        <v>162</v>
      </c>
      <c r="N39" s="635" t="s">
        <v>95</v>
      </c>
      <c r="O39" s="640" t="s">
        <v>96</v>
      </c>
      <c r="P39" s="619" t="s">
        <v>162</v>
      </c>
      <c r="Q39" s="635" t="s">
        <v>95</v>
      </c>
      <c r="R39" s="640" t="s">
        <v>96</v>
      </c>
      <c r="U39" s="647"/>
      <c r="V39" s="647"/>
      <c r="W39" s="647"/>
      <c r="X39" s="647"/>
      <c r="Y39" s="647"/>
      <c r="Z39" s="647"/>
      <c r="AA39" s="647"/>
      <c r="AB39" s="647"/>
      <c r="AC39" s="647"/>
      <c r="AD39" s="647"/>
      <c r="AE39" s="647"/>
      <c r="AF39" s="647"/>
      <c r="AG39" s="647"/>
      <c r="AH39" s="647"/>
      <c r="AI39" s="647"/>
      <c r="AJ39" s="647"/>
      <c r="AK39" s="647"/>
      <c r="AL39" s="647"/>
      <c r="AM39" s="647"/>
      <c r="AN39" s="647"/>
      <c r="AO39" s="647"/>
      <c r="AP39" s="647"/>
      <c r="AQ39" s="647"/>
      <c r="AR39" s="647"/>
      <c r="AS39" s="647"/>
      <c r="AT39" s="647"/>
      <c r="AU39" s="647"/>
      <c r="AV39" s="647"/>
      <c r="AW39" s="647"/>
      <c r="AX39" s="647"/>
      <c r="AY39" s="647"/>
      <c r="AZ39" s="647"/>
      <c r="BA39" s="647"/>
      <c r="BB39" s="647"/>
      <c r="BC39" s="647"/>
      <c r="BD39" s="647"/>
      <c r="BE39" s="647"/>
      <c r="BF39" s="647"/>
      <c r="BG39" s="647"/>
      <c r="BH39" s="647"/>
      <c r="BI39" s="647"/>
      <c r="BJ39" s="647"/>
      <c r="BK39" s="647"/>
      <c r="BL39" s="647"/>
      <c r="BM39" s="647"/>
    </row>
    <row r="40" spans="2:87" ht="15" customHeight="1" thickBot="1" x14ac:dyDescent="0.3">
      <c r="J40" s="620"/>
      <c r="K40" s="636"/>
      <c r="L40" s="641"/>
      <c r="M40" s="620"/>
      <c r="N40" s="636"/>
      <c r="O40" s="641"/>
      <c r="P40" s="620"/>
      <c r="Q40" s="636"/>
      <c r="R40" s="641"/>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row>
    <row r="41" spans="2:87" ht="15" customHeight="1" x14ac:dyDescent="0.35">
      <c r="D41" s="622" t="s">
        <v>99</v>
      </c>
      <c r="E41" s="623"/>
      <c r="F41" s="623"/>
      <c r="G41" s="623"/>
      <c r="H41" s="623"/>
      <c r="I41" s="623"/>
      <c r="J41" s="215" t="str">
        <f>IF(SAISIE!$N$13&lt;&gt;"ok","",IF(SAISIE!V129="","",SAISIE!V129))</f>
        <v/>
      </c>
      <c r="K41" s="216" t="str">
        <f>IF(SAISIE!$N$13&lt;&gt;"ok","",IF(SAISIE!Z129="","",SAISIE!Z129))</f>
        <v/>
      </c>
      <c r="L41" s="217" t="str">
        <f>IF(SAISIE!$N$13&lt;&gt;"ok","",IF(SAISIE!AD129="","",SAISIE!AD129))</f>
        <v/>
      </c>
      <c r="M41" s="218" t="str">
        <f>IF(SAISIE!$N$13&lt;&gt;"ok","",IF(SAISIE!W129="","",SAISIE!W129))</f>
        <v/>
      </c>
      <c r="N41" s="219" t="str">
        <f>IF(SAISIE!$N$13&lt;&gt;"ok","",IF(SAISIE!AA129="","",SAISIE!AA129))</f>
        <v/>
      </c>
      <c r="O41" s="220" t="str">
        <f>IF(SAISIE!$N$13&lt;&gt;"ok","",IF(SAISIE!AE129="","",SAISIE!AE129))</f>
        <v/>
      </c>
      <c r="P41" s="221" t="str">
        <f>IF(SAISIE!$N$13&lt;&gt;"ok","",IF(SAISIE!X129="","",SAISIE!X129))</f>
        <v/>
      </c>
      <c r="Q41" s="222" t="str">
        <f>IF(SAISIE!$N$13&lt;&gt;"ok","",IF(SAISIE!AB129="","",SAISIE!AB129))</f>
        <v/>
      </c>
      <c r="R41" s="223" t="str">
        <f>IF(SAISIE!$N$13&lt;&gt;"ok","",IF(SAISIE!AF129="","",SAISIE!AF129))</f>
        <v/>
      </c>
      <c r="U41" s="646" t="str">
        <f>SAISIE!E199</f>
        <v>Cout de production partiel* (€/T)</v>
      </c>
      <c r="V41" s="646"/>
      <c r="W41" s="646"/>
      <c r="X41" s="646"/>
      <c r="Y41" s="646"/>
      <c r="Z41" s="646"/>
      <c r="AA41" s="646"/>
      <c r="AB41" s="646"/>
      <c r="AC41" s="646"/>
      <c r="AD41" s="646"/>
      <c r="AE41" s="646"/>
      <c r="AF41" s="646"/>
      <c r="AJ41" s="643" t="str">
        <f>SAISIE!E200</f>
        <v>Seuil de commercialisation partiel* (€/T)</v>
      </c>
      <c r="AK41" s="643"/>
      <c r="AL41" s="643"/>
      <c r="AM41" s="643"/>
      <c r="AN41" s="643"/>
      <c r="AO41" s="643"/>
      <c r="AP41" s="643"/>
      <c r="AQ41" s="643"/>
      <c r="AR41" s="643"/>
      <c r="AS41" s="643"/>
      <c r="AT41" s="643"/>
      <c r="AU41" s="643"/>
      <c r="AV41" s="643"/>
    </row>
    <row r="42" spans="2:87" ht="30" customHeight="1" x14ac:dyDescent="0.25">
      <c r="D42" s="624" t="s">
        <v>100</v>
      </c>
      <c r="E42" s="625"/>
      <c r="F42" s="625"/>
      <c r="G42" s="625"/>
      <c r="H42" s="625"/>
      <c r="I42" s="625"/>
      <c r="J42" s="98" t="str">
        <f>IF(SAISIE!$N$13&lt;&gt;"ok","",IF(SAISIE!V130="","",SAISIE!V130))</f>
        <v/>
      </c>
      <c r="K42" s="99" t="str">
        <f>IF(SAISIE!$N$13&lt;&gt;"ok","",IF(SAISIE!Z130="","",SAISIE!Z130))</f>
        <v/>
      </c>
      <c r="L42" s="100" t="str">
        <f>IF(SAISIE!$N$13&lt;&gt;"ok","",IF(SAISIE!AD130="","",SAISIE!AD130))</f>
        <v/>
      </c>
      <c r="M42" s="86" t="str">
        <f>IF(SAISIE!$N$13&lt;&gt;"ok","",IF(SAISIE!W130="","",SAISIE!W130))</f>
        <v/>
      </c>
      <c r="N42" s="87" t="str">
        <f>IF(SAISIE!$N$13&lt;&gt;"ok","",IF(SAISIE!AA130="","",SAISIE!AA130))</f>
        <v/>
      </c>
      <c r="O42" s="88" t="str">
        <f>IF(SAISIE!$N$13&lt;&gt;"ok","",IF(SAISIE!AE130="","",SAISIE!AE130))</f>
        <v/>
      </c>
      <c r="P42" s="110" t="str">
        <f>IF(SAISIE!$N$13&lt;&gt;"ok","",IF(SAISIE!X130="","",SAISIE!X130))</f>
        <v/>
      </c>
      <c r="Q42" s="111" t="str">
        <f>IF(SAISIE!$N$13&lt;&gt;"ok","",IF(SAISIE!AB130="","",SAISIE!AB130))</f>
        <v/>
      </c>
      <c r="R42" s="112" t="str">
        <f>IF(SAISIE!$N$13&lt;&gt;"ok","",IF(SAISIE!AF130="","",SAISIE!AF130))</f>
        <v/>
      </c>
      <c r="U42" s="646"/>
      <c r="V42" s="646"/>
      <c r="W42" s="646"/>
      <c r="X42" s="646"/>
      <c r="Y42" s="646"/>
      <c r="Z42" s="646"/>
      <c r="AA42" s="646"/>
      <c r="AB42" s="646"/>
      <c r="AC42" s="646"/>
      <c r="AD42" s="646"/>
      <c r="AE42" s="646"/>
      <c r="AF42" s="646"/>
    </row>
    <row r="43" spans="2:87" ht="15" customHeight="1" x14ac:dyDescent="0.25">
      <c r="D43" s="624" t="s">
        <v>151</v>
      </c>
      <c r="E43" s="625"/>
      <c r="F43" s="625"/>
      <c r="G43" s="625"/>
      <c r="H43" s="625"/>
      <c r="I43" s="625"/>
      <c r="J43" s="98" t="str">
        <f>IF(SAISIE!$N$13&lt;&gt;"ok","",IF(SAISIE!V131="","",SAISIE!V131))</f>
        <v/>
      </c>
      <c r="K43" s="99" t="str">
        <f>IF(SAISIE!$N$13&lt;&gt;"ok","",IF(SAISIE!Z131="","",SAISIE!Z131))</f>
        <v/>
      </c>
      <c r="L43" s="100" t="str">
        <f>IF(SAISIE!$N$13&lt;&gt;"ok","",IF(SAISIE!AD131="","",SAISIE!AD131))</f>
        <v/>
      </c>
      <c r="M43" s="86" t="str">
        <f>IF(SAISIE!$N$13&lt;&gt;"ok","",IF(SAISIE!W131="","",SAISIE!W131))</f>
        <v/>
      </c>
      <c r="N43" s="87" t="str">
        <f>IF(SAISIE!$N$13&lt;&gt;"ok","",IF(SAISIE!AA131="","",SAISIE!AA131))</f>
        <v/>
      </c>
      <c r="O43" s="88" t="str">
        <f>IF(SAISIE!$N$13&lt;&gt;"ok","",IF(SAISIE!AE131="","",SAISIE!AE131))</f>
        <v/>
      </c>
      <c r="P43" s="110" t="str">
        <f>IF(SAISIE!$N$13&lt;&gt;"ok","",IF(SAISIE!X131="","",SAISIE!X131))</f>
        <v/>
      </c>
      <c r="Q43" s="111" t="str">
        <f>IF(SAISIE!$N$13&lt;&gt;"ok","",IF(SAISIE!AB131="","",SAISIE!AB131))</f>
        <v/>
      </c>
      <c r="R43" s="112" t="str">
        <f>IF(SAISIE!$N$13&lt;&gt;"ok","",IF(SAISIE!AF131="","",SAISIE!AF131))</f>
        <v/>
      </c>
      <c r="S43" s="5"/>
      <c r="BM43" s="3"/>
    </row>
    <row r="44" spans="2:87" ht="5.25" customHeight="1" x14ac:dyDescent="0.25">
      <c r="D44" s="52"/>
      <c r="E44" s="52"/>
      <c r="F44" s="52"/>
      <c r="G44" s="52"/>
      <c r="H44" s="52"/>
      <c r="I44" s="52"/>
      <c r="S44" s="5"/>
    </row>
    <row r="45" spans="2:87" ht="15" customHeight="1" x14ac:dyDescent="0.25">
      <c r="D45" s="629" t="str">
        <f>SAISIE!E199</f>
        <v>Cout de production partiel* (€/T)</v>
      </c>
      <c r="E45" s="630"/>
      <c r="F45" s="630"/>
      <c r="G45" s="630"/>
      <c r="H45" s="630"/>
      <c r="I45" s="630"/>
      <c r="J45" s="101" t="str">
        <f>IF(SAISIE!$N$13&lt;&gt;"ok","",IF(SAISIE!V156="","",SAISIE!V156))</f>
        <v/>
      </c>
      <c r="K45" s="102" t="str">
        <f>IF(SAISIE!$N$13&lt;&gt;"ok","",IF(SAISIE!Z156="","",SAISIE!Z156))</f>
        <v/>
      </c>
      <c r="L45" s="103" t="str">
        <f>IF(SAISIE!$N$13&lt;&gt;"ok","",IF(SAISIE!AD156="","",SAISIE!AD156))</f>
        <v/>
      </c>
      <c r="M45" s="89" t="str">
        <f>IF(SAISIE!$N$13&lt;&gt;"ok","",IF(SAISIE!W156="","",SAISIE!W156))</f>
        <v/>
      </c>
      <c r="N45" s="90" t="str">
        <f>IF(SAISIE!$N$13&lt;&gt;"ok","",IF(SAISIE!AA156="","",SAISIE!AA156))</f>
        <v/>
      </c>
      <c r="O45" s="91" t="str">
        <f>IF(SAISIE!$N$13&lt;&gt;"ok","",IF(SAISIE!AE156="","",SAISIE!AE156))</f>
        <v/>
      </c>
      <c r="P45" s="113" t="str">
        <f>IF(SAISIE!$N$13&lt;&gt;"ok","",IF(SAISIE!X156="","",SAISIE!X156))</f>
        <v/>
      </c>
      <c r="Q45" s="114" t="str">
        <f>IF(SAISIE!$N$13&lt;&gt;"ok","",IF(SAISIE!AB156="","",SAISIE!AB156))</f>
        <v/>
      </c>
      <c r="R45" s="115" t="str">
        <f>IF(SAISIE!$N$13&lt;&gt;"ok","",IF(SAISIE!AF156="","",SAISIE!AF156))</f>
        <v/>
      </c>
      <c r="S45" s="5"/>
    </row>
    <row r="46" spans="2:87" ht="15" customHeight="1" x14ac:dyDescent="0.25">
      <c r="D46" s="629" t="str">
        <f>SAISIE!E200</f>
        <v>Seuil de commercialisation partiel* (€/T)</v>
      </c>
      <c r="E46" s="630"/>
      <c r="F46" s="630"/>
      <c r="G46" s="630"/>
      <c r="H46" s="630"/>
      <c r="I46" s="630"/>
      <c r="J46" s="101" t="str">
        <f>IF(SAISIE!$N$13&lt;&gt;"ok","",IF(SAISIE!V157="","",SAISIE!V157))</f>
        <v/>
      </c>
      <c r="K46" s="102" t="str">
        <f>IF(SAISIE!$N$13&lt;&gt;"ok","",IF(SAISIE!Z157="","",SAISIE!Z157))</f>
        <v/>
      </c>
      <c r="L46" s="103" t="str">
        <f>IF(SAISIE!$N$13&lt;&gt;"ok","",IF(SAISIE!AD157="","",SAISIE!AD157))</f>
        <v/>
      </c>
      <c r="M46" s="89" t="str">
        <f>IF(SAISIE!$N$13&lt;&gt;"ok","",IF(SAISIE!W157="","",SAISIE!W157))</f>
        <v/>
      </c>
      <c r="N46" s="90" t="str">
        <f>IF(SAISIE!$N$13&lt;&gt;"ok","",IF(SAISIE!AA157="","",SAISIE!AA157))</f>
        <v/>
      </c>
      <c r="O46" s="91" t="str">
        <f>IF(SAISIE!$N$13&lt;&gt;"ok","",IF(SAISIE!AE157="","",SAISIE!AE157))</f>
        <v/>
      </c>
      <c r="P46" s="113" t="str">
        <f>IF(SAISIE!$N$13&lt;&gt;"ok","",IF(SAISIE!X157="","",SAISIE!X157))</f>
        <v/>
      </c>
      <c r="Q46" s="114" t="str">
        <f>IF(SAISIE!$N$13&lt;&gt;"ok","",IF(SAISIE!AB157="","",SAISIE!AB157))</f>
        <v/>
      </c>
      <c r="R46" s="115" t="str">
        <f>IF(SAISIE!$N$13&lt;&gt;"ok","",IF(SAISIE!AF157="","",SAISIE!AF157))</f>
        <v/>
      </c>
      <c r="S46" s="5"/>
    </row>
    <row r="47" spans="2:87" ht="5.25" customHeight="1" x14ac:dyDescent="0.25">
      <c r="D47" s="52"/>
      <c r="E47" s="52"/>
      <c r="F47" s="52"/>
      <c r="G47" s="52"/>
      <c r="H47" s="52"/>
      <c r="I47" s="52"/>
      <c r="S47" s="5"/>
    </row>
    <row r="48" spans="2:87" ht="15" customHeight="1" thickBot="1" x14ac:dyDescent="0.3">
      <c r="D48" s="627" t="s">
        <v>94</v>
      </c>
      <c r="E48" s="628"/>
      <c r="F48" s="628"/>
      <c r="G48" s="628"/>
      <c r="H48" s="628"/>
      <c r="I48" s="628"/>
      <c r="J48" s="104" t="str">
        <f>IF(SAISIE!$N$13&lt;&gt;"ok","",IF(SAISIE!V158="","",SAISIE!V158))</f>
        <v/>
      </c>
      <c r="K48" s="105" t="str">
        <f>IF(SAISIE!$N$13&lt;&gt;"ok","",IF(SAISIE!Z158="","",SAISIE!Z158))</f>
        <v/>
      </c>
      <c r="L48" s="106" t="str">
        <f>IF(SAISIE!$N$13&lt;&gt;"ok","",IF(SAISIE!AD158="","",SAISIE!AD158))</f>
        <v/>
      </c>
      <c r="M48" s="92" t="str">
        <f>IF(SAISIE!$N$13&lt;&gt;"ok","",IF(SAISIE!W158="","",SAISIE!W158))</f>
        <v/>
      </c>
      <c r="N48" s="93" t="str">
        <f>IF(SAISIE!$N$13&lt;&gt;"ok","",IF(SAISIE!AA158="","",SAISIE!AA158))</f>
        <v/>
      </c>
      <c r="O48" s="94" t="str">
        <f>IF(SAISIE!$N$13&lt;&gt;"ok","",IF(SAISIE!AE158="","",SAISIE!AE158))</f>
        <v/>
      </c>
      <c r="P48" s="116" t="str">
        <f>IF(SAISIE!$N$13&lt;&gt;"ok","",IF(SAISIE!X158="","",SAISIE!X158))</f>
        <v/>
      </c>
      <c r="Q48" s="117" t="str">
        <f>IF(SAISIE!$N$13&lt;&gt;"ok","",IF(SAISIE!AB158="","",SAISIE!AB158))</f>
        <v/>
      </c>
      <c r="R48" s="118" t="str">
        <f>IF(SAISIE!$N$13&lt;&gt;"ok","",IF(SAISIE!AF158="","",SAISIE!AF158))</f>
        <v/>
      </c>
      <c r="S48" s="5"/>
    </row>
    <row r="49" spans="6:73" ht="15" customHeight="1" x14ac:dyDescent="0.25">
      <c r="F49" s="626" t="s">
        <v>104</v>
      </c>
      <c r="G49" s="626"/>
      <c r="H49" s="626"/>
      <c r="I49" s="626"/>
      <c r="J49" s="626"/>
      <c r="K49" s="626"/>
      <c r="L49" s="626"/>
      <c r="M49" s="67" t="str">
        <f>IF(SAISIE!I164="","",IF(SAISIE!I164&gt;0,CONCATENATE("+",ROUND(SAISIE!I164*100,0),"%"),SAISIE!I164))</f>
        <v/>
      </c>
      <c r="N49" s="82"/>
      <c r="O49" s="82"/>
      <c r="P49" s="67" t="str">
        <f>IF(SAISIE!J164="","",IF(SAISIE!J164&gt;0,CONCATENATE("+",ROUND(SAISIE!J164*100,0),"%"),SAISIE!J164))</f>
        <v/>
      </c>
      <c r="Q49" s="82"/>
      <c r="R49" s="82"/>
    </row>
    <row r="50" spans="6:73" ht="18.75" customHeight="1" x14ac:dyDescent="0.25">
      <c r="F50" s="621" t="str">
        <f>CONCATENATE("(Par rapport à ",J38,")")</f>
        <v>(Par rapport à )</v>
      </c>
      <c r="G50" s="621"/>
      <c r="H50" s="621"/>
      <c r="I50" s="621"/>
      <c r="J50" s="621"/>
      <c r="K50" s="621"/>
      <c r="L50" s="621"/>
      <c r="M50" s="67"/>
      <c r="N50" s="82"/>
      <c r="O50" s="82"/>
      <c r="P50" s="67"/>
      <c r="Q50" s="82"/>
      <c r="R50" s="82"/>
    </row>
    <row r="51" spans="6:73" ht="15" customHeight="1" x14ac:dyDescent="0.25"/>
    <row r="52" spans="6:73" ht="15" customHeight="1" x14ac:dyDescent="0.25"/>
    <row r="53" spans="6:73" ht="15" customHeight="1" x14ac:dyDescent="0.25"/>
    <row r="57" spans="6:73" x14ac:dyDescent="0.25">
      <c r="F57" s="202"/>
    </row>
    <row r="58" spans="6:73" ht="18.75" customHeight="1" x14ac:dyDescent="0.25"/>
    <row r="59" spans="6:73" ht="18.75" customHeight="1" x14ac:dyDescent="0.25">
      <c r="T59" s="654" t="s">
        <v>156</v>
      </c>
      <c r="U59" s="644" t="s">
        <v>155</v>
      </c>
      <c r="V59" s="645"/>
      <c r="W59" s="645"/>
      <c r="X59" s="645"/>
      <c r="Y59" s="645"/>
      <c r="Z59" s="645"/>
      <c r="AA59" s="647" t="str">
        <f>SAISIE!F199</f>
        <v/>
      </c>
      <c r="AB59" s="647"/>
      <c r="AC59" s="647"/>
      <c r="AD59" s="647"/>
      <c r="AE59" s="647"/>
      <c r="AF59" s="647"/>
      <c r="AG59" s="647"/>
      <c r="AH59" s="647"/>
      <c r="AI59" s="647"/>
      <c r="AJ59" s="647"/>
      <c r="AK59" s="647"/>
      <c r="AL59" s="647"/>
      <c r="AM59" s="647"/>
      <c r="AN59" s="647"/>
      <c r="AO59" s="647"/>
      <c r="AP59" s="647"/>
      <c r="AQ59" s="647"/>
      <c r="AR59" s="647"/>
      <c r="AS59" s="647"/>
      <c r="AT59" s="647"/>
      <c r="AU59" s="647"/>
      <c r="AV59" s="647"/>
      <c r="AW59" s="647"/>
      <c r="AX59" s="647"/>
      <c r="AY59" s="647"/>
      <c r="AZ59" s="647"/>
      <c r="BA59" s="647"/>
      <c r="BB59" s="647"/>
      <c r="BC59" s="647"/>
      <c r="BD59" s="647"/>
      <c r="BE59" s="647"/>
      <c r="BF59" s="647"/>
      <c r="BG59" s="647"/>
      <c r="BH59" s="647"/>
      <c r="BI59" s="647"/>
      <c r="BJ59" s="647"/>
      <c r="BK59" s="647"/>
      <c r="BU59" s="69"/>
    </row>
    <row r="60" spans="6:73" ht="15" customHeight="1" x14ac:dyDescent="0.25">
      <c r="T60" s="654"/>
      <c r="U60" s="228"/>
      <c r="V60" s="228"/>
      <c r="W60" s="228"/>
      <c r="X60" s="228"/>
      <c r="Y60" s="228"/>
      <c r="Z60" s="228"/>
      <c r="AA60" s="647"/>
      <c r="AB60" s="647"/>
      <c r="AC60" s="647"/>
      <c r="AD60" s="647"/>
      <c r="AE60" s="647"/>
      <c r="AF60" s="647"/>
      <c r="AG60" s="647"/>
      <c r="AH60" s="647"/>
      <c r="AI60" s="647"/>
      <c r="AJ60" s="647"/>
      <c r="AK60" s="647"/>
      <c r="AL60" s="647"/>
      <c r="AM60" s="647"/>
      <c r="AN60" s="647"/>
      <c r="AO60" s="647"/>
      <c r="AP60" s="647"/>
      <c r="AQ60" s="647"/>
      <c r="AR60" s="647"/>
      <c r="AS60" s="647"/>
      <c r="AT60" s="647"/>
      <c r="AU60" s="647"/>
      <c r="AV60" s="647"/>
      <c r="AW60" s="647"/>
      <c r="AX60" s="647"/>
      <c r="AY60" s="647"/>
      <c r="AZ60" s="647"/>
      <c r="BA60" s="647"/>
      <c r="BB60" s="647"/>
      <c r="BC60" s="647"/>
      <c r="BD60" s="647"/>
      <c r="BE60" s="647"/>
      <c r="BF60" s="647"/>
      <c r="BG60" s="647"/>
      <c r="BH60" s="647"/>
      <c r="BI60" s="647"/>
      <c r="BJ60" s="647"/>
      <c r="BK60" s="647"/>
    </row>
    <row r="61" spans="6:73" ht="15.75" x14ac:dyDescent="0.25">
      <c r="T61" s="62"/>
      <c r="U61" s="64"/>
      <c r="V61" s="64"/>
      <c r="W61" s="64"/>
      <c r="X61" s="64"/>
      <c r="Y61" s="64"/>
      <c r="Z61" s="64"/>
      <c r="AA61" s="647"/>
      <c r="AB61" s="647"/>
      <c r="AC61" s="647"/>
      <c r="AD61" s="647"/>
      <c r="AE61" s="647"/>
      <c r="AF61" s="647"/>
      <c r="AG61" s="647"/>
      <c r="AH61" s="647"/>
      <c r="AI61" s="647"/>
      <c r="AJ61" s="647"/>
      <c r="AK61" s="647"/>
      <c r="AL61" s="647"/>
      <c r="AM61" s="647"/>
      <c r="AN61" s="647"/>
      <c r="AO61" s="647"/>
      <c r="AP61" s="647"/>
      <c r="AQ61" s="647"/>
      <c r="AR61" s="647"/>
      <c r="AS61" s="647"/>
      <c r="AT61" s="647"/>
      <c r="AU61" s="647"/>
      <c r="AV61" s="647"/>
      <c r="AW61" s="647"/>
      <c r="AX61" s="647"/>
      <c r="AY61" s="647"/>
      <c r="AZ61" s="647"/>
      <c r="BA61" s="647"/>
      <c r="BB61" s="647"/>
      <c r="BC61" s="647"/>
      <c r="BD61" s="647"/>
      <c r="BE61" s="647"/>
      <c r="BF61" s="647"/>
      <c r="BG61" s="647"/>
      <c r="BH61" s="647"/>
      <c r="BI61" s="647"/>
      <c r="BJ61" s="647"/>
      <c r="BK61" s="647"/>
      <c r="BL61" s="64"/>
      <c r="BM61" s="64"/>
    </row>
    <row r="62" spans="6:73" x14ac:dyDescent="0.25">
      <c r="AB62" s="60"/>
      <c r="AC62" s="60"/>
      <c r="AD62" s="60"/>
      <c r="AE62" s="60"/>
      <c r="AF62" s="60"/>
      <c r="AG62" s="60"/>
      <c r="AH62" s="60"/>
      <c r="AI62" s="60"/>
      <c r="AJ62" s="60"/>
      <c r="AK62" s="60"/>
      <c r="AL62" s="60"/>
      <c r="AM62" s="60"/>
      <c r="AN62" s="60"/>
      <c r="AO62" s="60"/>
      <c r="AP62" s="60"/>
      <c r="AQ62" s="60"/>
    </row>
  </sheetData>
  <sheetProtection algorithmName="SHA-512" hashValue="46DoW1mb/WHfVNZDFAUThmb99CwJHBZuvDijuJTygaUHJraOVOEOKVzuAcYaejk5ms/mo8/wsmiGskPIxU/VuQ==" saltValue="KMnsUj9wG5AZnLzSzuVk1w==" spinCount="100000" sheet="1" objects="1" scenarios="1" selectLockedCells="1" selectUnlockedCells="1"/>
  <mergeCells count="71">
    <mergeCell ref="B28:E28"/>
    <mergeCell ref="A11:BI11"/>
    <mergeCell ref="L39:L40"/>
    <mergeCell ref="O39:O40"/>
    <mergeCell ref="B26:E26"/>
    <mergeCell ref="B15:E16"/>
    <mergeCell ref="B22:E22"/>
    <mergeCell ref="B13:R13"/>
    <mergeCell ref="B23:E23"/>
    <mergeCell ref="B24:E24"/>
    <mergeCell ref="B25:E25"/>
    <mergeCell ref="B29:E29"/>
    <mergeCell ref="B30:E30"/>
    <mergeCell ref="B31:E31"/>
    <mergeCell ref="B32:E32"/>
    <mergeCell ref="J39:J40"/>
    <mergeCell ref="O16:O17"/>
    <mergeCell ref="J1:P10"/>
    <mergeCell ref="T59:T60"/>
    <mergeCell ref="B27:E27"/>
    <mergeCell ref="B18:E18"/>
    <mergeCell ref="B19:E19"/>
    <mergeCell ref="B20:E20"/>
    <mergeCell ref="B21:E21"/>
    <mergeCell ref="M15:O15"/>
    <mergeCell ref="P15:R15"/>
    <mergeCell ref="J14:R14"/>
    <mergeCell ref="F14:H14"/>
    <mergeCell ref="F15:F17"/>
    <mergeCell ref="G15:G17"/>
    <mergeCell ref="B33:E33"/>
    <mergeCell ref="N39:N40"/>
    <mergeCell ref="M16:M17"/>
    <mergeCell ref="N16:N17"/>
    <mergeCell ref="H15:H17"/>
    <mergeCell ref="J16:J17"/>
    <mergeCell ref="K16:K17"/>
    <mergeCell ref="J15:L15"/>
    <mergeCell ref="U59:Z59"/>
    <mergeCell ref="R39:R40"/>
    <mergeCell ref="Q39:Q40"/>
    <mergeCell ref="P39:P40"/>
    <mergeCell ref="U41:AF42"/>
    <mergeCell ref="AA59:BK61"/>
    <mergeCell ref="U38:BM39"/>
    <mergeCell ref="P38:R38"/>
    <mergeCell ref="AN16:AO16"/>
    <mergeCell ref="Q16:Q17"/>
    <mergeCell ref="R16:R17"/>
    <mergeCell ref="AJ41:AV41"/>
    <mergeCell ref="U16:W16"/>
    <mergeCell ref="X16:Z16"/>
    <mergeCell ref="AA16:AB16"/>
    <mergeCell ref="AE16:AG16"/>
    <mergeCell ref="AJ16:AK16"/>
    <mergeCell ref="P16:P17"/>
    <mergeCell ref="F50:L50"/>
    <mergeCell ref="D41:I41"/>
    <mergeCell ref="D42:I42"/>
    <mergeCell ref="F49:L49"/>
    <mergeCell ref="D43:I43"/>
    <mergeCell ref="D48:I48"/>
    <mergeCell ref="D45:I45"/>
    <mergeCell ref="D46:I46"/>
    <mergeCell ref="J38:L38"/>
    <mergeCell ref="B34:F34"/>
    <mergeCell ref="K39:K40"/>
    <mergeCell ref="B35:F35"/>
    <mergeCell ref="M38:O38"/>
    <mergeCell ref="M39:M40"/>
    <mergeCell ref="L16:L17"/>
  </mergeCells>
  <conditionalFormatting sqref="J30:L33 J18:L18 M18:R33 J41:L43">
    <cfRule type="cellIs" dxfId="343" priority="47" operator="equal">
      <formula>0</formula>
    </cfRule>
    <cfRule type="cellIs" dxfId="342" priority="48" operator="between">
      <formula>-1</formula>
      <formula>1</formula>
    </cfRule>
  </conditionalFormatting>
  <conditionalFormatting sqref="L24">
    <cfRule type="cellIs" dxfId="341" priority="45" operator="equal">
      <formula>0</formula>
    </cfRule>
    <cfRule type="cellIs" dxfId="340" priority="46" operator="between">
      <formula>-1</formula>
      <formula>1</formula>
    </cfRule>
  </conditionalFormatting>
  <conditionalFormatting sqref="L25">
    <cfRule type="cellIs" dxfId="339" priority="41" operator="equal">
      <formula>0</formula>
    </cfRule>
    <cfRule type="cellIs" dxfId="338" priority="42" operator="between">
      <formula>-1</formula>
      <formula>1</formula>
    </cfRule>
  </conditionalFormatting>
  <conditionalFormatting sqref="L27">
    <cfRule type="cellIs" dxfId="337" priority="33" operator="equal">
      <formula>0</formula>
    </cfRule>
    <cfRule type="cellIs" dxfId="336" priority="34" operator="between">
      <formula>-1</formula>
      <formula>1</formula>
    </cfRule>
  </conditionalFormatting>
  <conditionalFormatting sqref="L28">
    <cfRule type="cellIs" dxfId="335" priority="29" operator="equal">
      <formula>0</formula>
    </cfRule>
    <cfRule type="cellIs" dxfId="334" priority="30" operator="between">
      <formula>-1</formula>
      <formula>1</formula>
    </cfRule>
  </conditionalFormatting>
  <conditionalFormatting sqref="F30:H33">
    <cfRule type="cellIs" dxfId="333" priority="207" operator="equal">
      <formula>0</formula>
    </cfRule>
    <cfRule type="cellIs" dxfId="332" priority="208" operator="between">
      <formula>-1</formula>
      <formula>1</formula>
    </cfRule>
  </conditionalFormatting>
  <conditionalFormatting sqref="G19:H19">
    <cfRule type="cellIs" dxfId="331" priority="205" operator="equal">
      <formula>0</formula>
    </cfRule>
    <cfRule type="cellIs" dxfId="330" priority="206" operator="between">
      <formula>-1</formula>
      <formula>1</formula>
    </cfRule>
  </conditionalFormatting>
  <conditionalFormatting sqref="F19">
    <cfRule type="cellIs" dxfId="329" priority="203" operator="equal">
      <formula>0</formula>
    </cfRule>
    <cfRule type="cellIs" dxfId="328" priority="204" operator="between">
      <formula>-1</formula>
      <formula>1</formula>
    </cfRule>
  </conditionalFormatting>
  <conditionalFormatting sqref="G20:H20">
    <cfRule type="cellIs" dxfId="327" priority="201" operator="equal">
      <formula>0</formula>
    </cfRule>
    <cfRule type="cellIs" dxfId="326" priority="202" operator="between">
      <formula>-1</formula>
      <formula>1</formula>
    </cfRule>
  </conditionalFormatting>
  <conditionalFormatting sqref="F20">
    <cfRule type="cellIs" dxfId="325" priority="199" operator="equal">
      <formula>0</formula>
    </cfRule>
    <cfRule type="cellIs" dxfId="324" priority="200" operator="between">
      <formula>-1</formula>
      <formula>1</formula>
    </cfRule>
  </conditionalFormatting>
  <conditionalFormatting sqref="G21:H21">
    <cfRule type="cellIs" dxfId="323" priority="197" operator="equal">
      <formula>0</formula>
    </cfRule>
    <cfRule type="cellIs" dxfId="322" priority="198" operator="between">
      <formula>-1</formula>
      <formula>1</formula>
    </cfRule>
  </conditionalFormatting>
  <conditionalFormatting sqref="F21">
    <cfRule type="cellIs" dxfId="321" priority="195" operator="equal">
      <formula>0</formula>
    </cfRule>
    <cfRule type="cellIs" dxfId="320" priority="196" operator="between">
      <formula>-1</formula>
      <formula>1</formula>
    </cfRule>
  </conditionalFormatting>
  <conditionalFormatting sqref="G22:H22">
    <cfRule type="cellIs" dxfId="319" priority="193" operator="equal">
      <formula>0</formula>
    </cfRule>
    <cfRule type="cellIs" dxfId="318" priority="194" operator="between">
      <formula>-1</formula>
      <formula>1</formula>
    </cfRule>
  </conditionalFormatting>
  <conditionalFormatting sqref="F22">
    <cfRule type="cellIs" dxfId="317" priority="191" operator="equal">
      <formula>0</formula>
    </cfRule>
    <cfRule type="cellIs" dxfId="316" priority="192" operator="between">
      <formula>-1</formula>
      <formula>1</formula>
    </cfRule>
  </conditionalFormatting>
  <conditionalFormatting sqref="G23:H23">
    <cfRule type="cellIs" dxfId="315" priority="189" operator="equal">
      <formula>0</formula>
    </cfRule>
    <cfRule type="cellIs" dxfId="314" priority="190" operator="between">
      <formula>-1</formula>
      <formula>1</formula>
    </cfRule>
  </conditionalFormatting>
  <conditionalFormatting sqref="F23">
    <cfRule type="cellIs" dxfId="313" priority="187" operator="equal">
      <formula>0</formula>
    </cfRule>
    <cfRule type="cellIs" dxfId="312" priority="188" operator="between">
      <formula>-1</formula>
      <formula>1</formula>
    </cfRule>
  </conditionalFormatting>
  <conditionalFormatting sqref="G24:H24">
    <cfRule type="cellIs" dxfId="311" priority="185" operator="equal">
      <formula>0</formula>
    </cfRule>
    <cfRule type="cellIs" dxfId="310" priority="186" operator="between">
      <formula>-1</formula>
      <formula>1</formula>
    </cfRule>
  </conditionalFormatting>
  <conditionalFormatting sqref="F24">
    <cfRule type="cellIs" dxfId="309" priority="183" operator="equal">
      <formula>0</formula>
    </cfRule>
    <cfRule type="cellIs" dxfId="308" priority="184" operator="between">
      <formula>-1</formula>
      <formula>1</formula>
    </cfRule>
  </conditionalFormatting>
  <conditionalFormatting sqref="G25:H25">
    <cfRule type="cellIs" dxfId="307" priority="181" operator="equal">
      <formula>0</formula>
    </cfRule>
    <cfRule type="cellIs" dxfId="306" priority="182" operator="between">
      <formula>-1</formula>
      <formula>1</formula>
    </cfRule>
  </conditionalFormatting>
  <conditionalFormatting sqref="F25">
    <cfRule type="cellIs" dxfId="305" priority="179" operator="equal">
      <formula>0</formula>
    </cfRule>
    <cfRule type="cellIs" dxfId="304" priority="180" operator="between">
      <formula>-1</formula>
      <formula>1</formula>
    </cfRule>
  </conditionalFormatting>
  <conditionalFormatting sqref="G26:H26">
    <cfRule type="cellIs" dxfId="303" priority="177" operator="equal">
      <formula>0</formula>
    </cfRule>
    <cfRule type="cellIs" dxfId="302" priority="178" operator="between">
      <formula>-1</formula>
      <formula>1</formula>
    </cfRule>
  </conditionalFormatting>
  <conditionalFormatting sqref="F26">
    <cfRule type="cellIs" dxfId="301" priority="175" operator="equal">
      <formula>0</formula>
    </cfRule>
    <cfRule type="cellIs" dxfId="300" priority="176" operator="between">
      <formula>-1</formula>
      <formula>1</formula>
    </cfRule>
  </conditionalFormatting>
  <conditionalFormatting sqref="G27:H27">
    <cfRule type="cellIs" dxfId="299" priority="173" operator="equal">
      <formula>0</formula>
    </cfRule>
    <cfRule type="cellIs" dxfId="298" priority="174" operator="between">
      <formula>-1</formula>
      <formula>1</formula>
    </cfRule>
  </conditionalFormatting>
  <conditionalFormatting sqref="F27">
    <cfRule type="cellIs" dxfId="297" priority="171" operator="equal">
      <formula>0</formula>
    </cfRule>
    <cfRule type="cellIs" dxfId="296" priority="172" operator="between">
      <formula>-1</formula>
      <formula>1</formula>
    </cfRule>
  </conditionalFormatting>
  <conditionalFormatting sqref="G28:H28">
    <cfRule type="cellIs" dxfId="295" priority="169" operator="equal">
      <formula>0</formula>
    </cfRule>
    <cfRule type="cellIs" dxfId="294" priority="170" operator="between">
      <formula>-1</formula>
      <formula>1</formula>
    </cfRule>
  </conditionalFormatting>
  <conditionalFormatting sqref="F28">
    <cfRule type="cellIs" dxfId="293" priority="167" operator="equal">
      <formula>0</formula>
    </cfRule>
    <cfRule type="cellIs" dxfId="292" priority="168" operator="between">
      <formula>-1</formula>
      <formula>1</formula>
    </cfRule>
  </conditionalFormatting>
  <conditionalFormatting sqref="G29:H29">
    <cfRule type="cellIs" dxfId="291" priority="165" operator="equal">
      <formula>0</formula>
    </cfRule>
    <cfRule type="cellIs" dxfId="290" priority="166" operator="between">
      <formula>-1</formula>
      <formula>1</formula>
    </cfRule>
  </conditionalFormatting>
  <conditionalFormatting sqref="F29">
    <cfRule type="cellIs" dxfId="289" priority="163" operator="equal">
      <formula>0</formula>
    </cfRule>
    <cfRule type="cellIs" dxfId="288" priority="164" operator="between">
      <formula>-1</formula>
      <formula>1</formula>
    </cfRule>
  </conditionalFormatting>
  <conditionalFormatting sqref="J19">
    <cfRule type="cellIs" dxfId="287" priority="157" operator="equal">
      <formula>0</formula>
    </cfRule>
    <cfRule type="cellIs" dxfId="286" priority="158" operator="between">
      <formula>-1</formula>
      <formula>1</formula>
    </cfRule>
  </conditionalFormatting>
  <conditionalFormatting sqref="J20">
    <cfRule type="cellIs" dxfId="285" priority="153" operator="equal">
      <formula>0</formula>
    </cfRule>
    <cfRule type="cellIs" dxfId="284" priority="154" operator="between">
      <formula>-1</formula>
      <formula>1</formula>
    </cfRule>
  </conditionalFormatting>
  <conditionalFormatting sqref="J21">
    <cfRule type="cellIs" dxfId="283" priority="149" operator="equal">
      <formula>0</formula>
    </cfRule>
    <cfRule type="cellIs" dxfId="282" priority="150" operator="between">
      <formula>-1</formula>
      <formula>1</formula>
    </cfRule>
  </conditionalFormatting>
  <conditionalFormatting sqref="J22">
    <cfRule type="cellIs" dxfId="281" priority="145" operator="equal">
      <formula>0</formula>
    </cfRule>
    <cfRule type="cellIs" dxfId="280" priority="146" operator="between">
      <formula>-1</formula>
      <formula>1</formula>
    </cfRule>
  </conditionalFormatting>
  <conditionalFormatting sqref="J23">
    <cfRule type="cellIs" dxfId="279" priority="141" operator="equal">
      <formula>0</formula>
    </cfRule>
    <cfRule type="cellIs" dxfId="278" priority="142" operator="between">
      <formula>-1</formula>
      <formula>1</formula>
    </cfRule>
  </conditionalFormatting>
  <conditionalFormatting sqref="J24">
    <cfRule type="cellIs" dxfId="277" priority="137" operator="equal">
      <formula>0</formula>
    </cfRule>
    <cfRule type="cellIs" dxfId="276" priority="138" operator="between">
      <formula>-1</formula>
      <formula>1</formula>
    </cfRule>
  </conditionalFormatting>
  <conditionalFormatting sqref="J25">
    <cfRule type="cellIs" dxfId="275" priority="133" operator="equal">
      <formula>0</formula>
    </cfRule>
    <cfRule type="cellIs" dxfId="274" priority="134" operator="between">
      <formula>-1</formula>
      <formula>1</formula>
    </cfRule>
  </conditionalFormatting>
  <conditionalFormatting sqref="J26">
    <cfRule type="cellIs" dxfId="273" priority="129" operator="equal">
      <formula>0</formula>
    </cfRule>
    <cfRule type="cellIs" dxfId="272" priority="130" operator="between">
      <formula>-1</formula>
      <formula>1</formula>
    </cfRule>
  </conditionalFormatting>
  <conditionalFormatting sqref="J27">
    <cfRule type="cellIs" dxfId="271" priority="125" operator="equal">
      <formula>0</formula>
    </cfRule>
    <cfRule type="cellIs" dxfId="270" priority="126" operator="between">
      <formula>-1</formula>
      <formula>1</formula>
    </cfRule>
  </conditionalFormatting>
  <conditionalFormatting sqref="J28">
    <cfRule type="cellIs" dxfId="269" priority="121" operator="equal">
      <formula>0</formula>
    </cfRule>
    <cfRule type="cellIs" dxfId="268" priority="122" operator="between">
      <formula>-1</formula>
      <formula>1</formula>
    </cfRule>
  </conditionalFormatting>
  <conditionalFormatting sqref="J29">
    <cfRule type="cellIs" dxfId="267" priority="117" operator="equal">
      <formula>0</formula>
    </cfRule>
    <cfRule type="cellIs" dxfId="266" priority="118" operator="between">
      <formula>-1</formula>
      <formula>1</formula>
    </cfRule>
  </conditionalFormatting>
  <conditionalFormatting sqref="K19">
    <cfRule type="cellIs" dxfId="265" priority="111" operator="equal">
      <formula>0</formula>
    </cfRule>
    <cfRule type="cellIs" dxfId="264" priority="112" operator="between">
      <formula>-1</formula>
      <formula>1</formula>
    </cfRule>
  </conditionalFormatting>
  <conditionalFormatting sqref="K20">
    <cfRule type="cellIs" dxfId="263" priority="107" operator="equal">
      <formula>0</formula>
    </cfRule>
    <cfRule type="cellIs" dxfId="262" priority="108" operator="between">
      <formula>-1</formula>
      <formula>1</formula>
    </cfRule>
  </conditionalFormatting>
  <conditionalFormatting sqref="K21">
    <cfRule type="cellIs" dxfId="261" priority="103" operator="equal">
      <formula>0</formula>
    </cfRule>
    <cfRule type="cellIs" dxfId="260" priority="104" operator="between">
      <formula>-1</formula>
      <formula>1</formula>
    </cfRule>
  </conditionalFormatting>
  <conditionalFormatting sqref="K22">
    <cfRule type="cellIs" dxfId="259" priority="99" operator="equal">
      <formula>0</formula>
    </cfRule>
    <cfRule type="cellIs" dxfId="258" priority="100" operator="between">
      <formula>-1</formula>
      <formula>1</formula>
    </cfRule>
  </conditionalFormatting>
  <conditionalFormatting sqref="K23">
    <cfRule type="cellIs" dxfId="257" priority="95" operator="equal">
      <formula>0</formula>
    </cfRule>
    <cfRule type="cellIs" dxfId="256" priority="96" operator="between">
      <formula>-1</formula>
      <formula>1</formula>
    </cfRule>
  </conditionalFormatting>
  <conditionalFormatting sqref="K24">
    <cfRule type="cellIs" dxfId="255" priority="91" operator="equal">
      <formula>0</formula>
    </cfRule>
    <cfRule type="cellIs" dxfId="254" priority="92" operator="between">
      <formula>-1</formula>
      <formula>1</formula>
    </cfRule>
  </conditionalFormatting>
  <conditionalFormatting sqref="K25">
    <cfRule type="cellIs" dxfId="253" priority="87" operator="equal">
      <formula>0</formula>
    </cfRule>
    <cfRule type="cellIs" dxfId="252" priority="88" operator="between">
      <formula>-1</formula>
      <formula>1</formula>
    </cfRule>
  </conditionalFormatting>
  <conditionalFormatting sqref="K26">
    <cfRule type="cellIs" dxfId="251" priority="83" operator="equal">
      <formula>0</formula>
    </cfRule>
    <cfRule type="cellIs" dxfId="250" priority="84" operator="between">
      <formula>-1</formula>
      <formula>1</formula>
    </cfRule>
  </conditionalFormatting>
  <conditionalFormatting sqref="K27">
    <cfRule type="cellIs" dxfId="249" priority="79" operator="equal">
      <formula>0</formula>
    </cfRule>
    <cfRule type="cellIs" dxfId="248" priority="80" operator="between">
      <formula>-1</formula>
      <formula>1</formula>
    </cfRule>
  </conditionalFormatting>
  <conditionalFormatting sqref="K28">
    <cfRule type="cellIs" dxfId="247" priority="75" operator="equal">
      <formula>0</formula>
    </cfRule>
    <cfRule type="cellIs" dxfId="246" priority="76" operator="between">
      <formula>-1</formula>
      <formula>1</formula>
    </cfRule>
  </conditionalFormatting>
  <conditionalFormatting sqref="K29">
    <cfRule type="cellIs" dxfId="245" priority="71" operator="equal">
      <formula>0</formula>
    </cfRule>
    <cfRule type="cellIs" dxfId="244" priority="72" operator="between">
      <formula>-1</formula>
      <formula>1</formula>
    </cfRule>
  </conditionalFormatting>
  <conditionalFormatting sqref="L19">
    <cfRule type="cellIs" dxfId="243" priority="65" operator="equal">
      <formula>0</formula>
    </cfRule>
    <cfRule type="cellIs" dxfId="242" priority="66" operator="between">
      <formula>-1</formula>
      <formula>1</formula>
    </cfRule>
  </conditionalFormatting>
  <conditionalFormatting sqref="L20">
    <cfRule type="cellIs" dxfId="241" priority="61" operator="equal">
      <formula>0</formula>
    </cfRule>
    <cfRule type="cellIs" dxfId="240" priority="62" operator="between">
      <formula>-1</formula>
      <formula>1</formula>
    </cfRule>
  </conditionalFormatting>
  <conditionalFormatting sqref="L21">
    <cfRule type="cellIs" dxfId="239" priority="57" operator="equal">
      <formula>0</formula>
    </cfRule>
    <cfRule type="cellIs" dxfId="238" priority="58" operator="between">
      <formula>-1</formula>
      <formula>1</formula>
    </cfRule>
  </conditionalFormatting>
  <conditionalFormatting sqref="L22">
    <cfRule type="cellIs" dxfId="237" priority="53" operator="equal">
      <formula>0</formula>
    </cfRule>
    <cfRule type="cellIs" dxfId="236" priority="54" operator="between">
      <formula>-1</formula>
      <formula>1</formula>
    </cfRule>
  </conditionalFormatting>
  <conditionalFormatting sqref="L23">
    <cfRule type="cellIs" dxfId="235" priority="49" operator="equal">
      <formula>0</formula>
    </cfRule>
    <cfRule type="cellIs" dxfId="234" priority="50" operator="between">
      <formula>-1</formula>
      <formula>1</formula>
    </cfRule>
  </conditionalFormatting>
  <conditionalFormatting sqref="L26">
    <cfRule type="cellIs" dxfId="233" priority="37" operator="equal">
      <formula>0</formula>
    </cfRule>
    <cfRule type="cellIs" dxfId="232" priority="38" operator="between">
      <formula>-1</formula>
      <formula>1</formula>
    </cfRule>
  </conditionalFormatting>
  <conditionalFormatting sqref="L29">
    <cfRule type="cellIs" dxfId="231" priority="25" operator="equal">
      <formula>0</formula>
    </cfRule>
    <cfRule type="cellIs" dxfId="230" priority="26" operator="between">
      <formula>-1</formula>
      <formula>1</formula>
    </cfRule>
  </conditionalFormatting>
  <conditionalFormatting sqref="G18:H18">
    <cfRule type="cellIs" dxfId="229" priority="23" operator="equal">
      <formula>0</formula>
    </cfRule>
    <cfRule type="cellIs" dxfId="228" priority="24" operator="between">
      <formula>-1</formula>
      <formula>1</formula>
    </cfRule>
  </conditionalFormatting>
  <conditionalFormatting sqref="F18">
    <cfRule type="cellIs" dxfId="227" priority="21" operator="equal">
      <formula>0</formula>
    </cfRule>
    <cfRule type="cellIs" dxfId="226" priority="22" operator="between">
      <formula>-1</formula>
      <formula>1</formula>
    </cfRule>
  </conditionalFormatting>
  <conditionalFormatting sqref="M41:O43">
    <cfRule type="cellIs" dxfId="225" priority="3" operator="equal">
      <formula>0</formula>
    </cfRule>
    <cfRule type="cellIs" dxfId="224" priority="4" operator="between">
      <formula>-1</formula>
      <formula>1</formula>
    </cfRule>
  </conditionalFormatting>
  <conditionalFormatting sqref="P41:R43">
    <cfRule type="cellIs" dxfId="223" priority="1" operator="equal">
      <formula>0</formula>
    </cfRule>
    <cfRule type="cellIs" dxfId="222" priority="2" operator="between">
      <formula>-1</formula>
      <formula>1</formula>
    </cfRule>
  </conditionalFormatting>
  <printOptions horizontalCentered="1" verticalCentered="1"/>
  <pageMargins left="0.25" right="0.25" top="0.75" bottom="0.75" header="0.3" footer="0.3"/>
  <pageSetup paperSize="9" scale="4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EC644-5734-475D-B37B-567D6F3374F5}">
  <sheetPr>
    <tabColor rgb="FFCCFF66"/>
    <pageSetUpPr fitToPage="1"/>
  </sheetPr>
  <dimension ref="A1:BB61"/>
  <sheetViews>
    <sheetView zoomScaleNormal="100" workbookViewId="0">
      <selection activeCell="D6" sqref="D6"/>
    </sheetView>
  </sheetViews>
  <sheetFormatPr baseColWidth="10" defaultRowHeight="15" x14ac:dyDescent="0.25"/>
  <cols>
    <col min="1" max="1" width="2.28515625" style="1" customWidth="1"/>
    <col min="2" max="4" width="9.42578125" style="1" customWidth="1"/>
    <col min="5" max="7" width="8.28515625" style="1" customWidth="1"/>
    <col min="8" max="8" width="1.5703125" style="1" customWidth="1"/>
    <col min="9" max="9" width="8.28515625" style="1" customWidth="1"/>
    <col min="10" max="12" width="8.28515625" style="59" customWidth="1"/>
    <col min="13" max="17" width="8.28515625" style="1" customWidth="1"/>
    <col min="18" max="19" width="4.42578125" style="1" customWidth="1"/>
    <col min="20" max="20" width="2.140625" style="1" customWidth="1"/>
    <col min="21" max="23" width="9.28515625" style="1" customWidth="1"/>
    <col min="24" max="26" width="13.5703125" style="1" customWidth="1"/>
    <col min="27" max="27" width="1.5703125" style="1" customWidth="1"/>
    <col min="28" max="30" width="13.5703125" style="1" customWidth="1"/>
    <col min="31" max="57" width="4.42578125" style="1" customWidth="1"/>
    <col min="58" max="59" width="4.28515625" style="1" customWidth="1"/>
    <col min="60" max="66" width="11.42578125" style="1"/>
    <col min="67" max="78" width="7.5703125" style="1" customWidth="1"/>
    <col min="79" max="16384" width="11.42578125" style="1"/>
  </cols>
  <sheetData>
    <row r="1" spans="1:54" ht="15.75" customHeight="1" x14ac:dyDescent="0.25">
      <c r="A1" s="70"/>
      <c r="B1" s="70"/>
      <c r="I1" s="523"/>
      <c r="J1" s="523"/>
      <c r="K1" s="523"/>
      <c r="L1" s="523"/>
      <c r="M1" s="523"/>
      <c r="N1" s="523"/>
      <c r="O1" s="523"/>
      <c r="P1" s="50"/>
    </row>
    <row r="2" spans="1:54" ht="15.75" customHeight="1" x14ac:dyDescent="0.25">
      <c r="A2" s="70"/>
      <c r="B2" s="70"/>
      <c r="I2" s="523"/>
      <c r="J2" s="523"/>
      <c r="K2" s="523"/>
      <c r="L2" s="523"/>
      <c r="M2" s="523"/>
      <c r="N2" s="523"/>
      <c r="O2" s="523"/>
      <c r="P2" s="50"/>
    </row>
    <row r="3" spans="1:54" ht="15.75" customHeight="1" x14ac:dyDescent="0.25">
      <c r="A3" s="70"/>
      <c r="B3" s="70"/>
      <c r="I3" s="523"/>
      <c r="J3" s="523"/>
      <c r="K3" s="523"/>
      <c r="L3" s="523"/>
      <c r="M3" s="523"/>
      <c r="N3" s="523"/>
      <c r="O3" s="523"/>
      <c r="P3" s="50"/>
    </row>
    <row r="4" spans="1:54" ht="15.75" customHeight="1" x14ac:dyDescent="0.25">
      <c r="A4" s="70"/>
      <c r="B4" s="70"/>
      <c r="I4" s="523"/>
      <c r="J4" s="523"/>
      <c r="K4" s="523"/>
      <c r="L4" s="523"/>
      <c r="M4" s="523"/>
      <c r="N4" s="523"/>
      <c r="O4" s="523"/>
      <c r="P4" s="50"/>
    </row>
    <row r="5" spans="1:54" ht="15.75" customHeight="1" x14ac:dyDescent="0.25">
      <c r="A5" s="70"/>
      <c r="B5" s="70"/>
      <c r="I5" s="523"/>
      <c r="J5" s="523"/>
      <c r="K5" s="523"/>
      <c r="L5" s="523"/>
      <c r="M5" s="523"/>
      <c r="N5" s="523"/>
      <c r="O5" s="523"/>
      <c r="P5" s="50"/>
    </row>
    <row r="6" spans="1:54" ht="15.75" customHeight="1" x14ac:dyDescent="0.25">
      <c r="A6" s="70"/>
      <c r="B6" s="70"/>
      <c r="I6" s="523"/>
      <c r="J6" s="523"/>
      <c r="K6" s="523"/>
      <c r="L6" s="523"/>
      <c r="M6" s="523"/>
      <c r="N6" s="523"/>
      <c r="O6" s="523"/>
      <c r="P6" s="50"/>
    </row>
    <row r="7" spans="1:54" ht="15.75" customHeight="1" x14ac:dyDescent="0.25">
      <c r="A7" s="70"/>
      <c r="B7" s="70"/>
      <c r="I7" s="523"/>
      <c r="J7" s="523"/>
      <c r="K7" s="523"/>
      <c r="L7" s="523"/>
      <c r="M7" s="523"/>
      <c r="N7" s="523"/>
      <c r="O7" s="523"/>
      <c r="P7" s="50"/>
    </row>
    <row r="8" spans="1:54" ht="15.75" customHeight="1" x14ac:dyDescent="0.25">
      <c r="A8" s="70"/>
      <c r="B8" s="70"/>
      <c r="I8" s="523"/>
      <c r="J8" s="523"/>
      <c r="K8" s="523"/>
      <c r="L8" s="523"/>
      <c r="M8" s="523"/>
      <c r="N8" s="523"/>
      <c r="O8" s="523"/>
      <c r="P8" s="50"/>
    </row>
    <row r="9" spans="1:54" ht="15.75" customHeight="1" x14ac:dyDescent="0.25">
      <c r="A9" s="70"/>
      <c r="B9" s="70"/>
      <c r="I9" s="523"/>
      <c r="J9" s="523"/>
      <c r="K9" s="523"/>
      <c r="L9" s="523"/>
      <c r="M9" s="523"/>
      <c r="N9" s="523"/>
      <c r="O9" s="523"/>
      <c r="P9" s="50"/>
    </row>
    <row r="10" spans="1:54" ht="15.75" customHeight="1" x14ac:dyDescent="0.25">
      <c r="A10" s="70"/>
      <c r="B10" s="70"/>
      <c r="I10" s="523"/>
      <c r="J10" s="523"/>
      <c r="K10" s="523"/>
      <c r="L10" s="523"/>
      <c r="M10" s="523"/>
      <c r="N10" s="523"/>
      <c r="O10" s="523"/>
      <c r="P10" s="50"/>
    </row>
    <row r="11" spans="1:54" ht="33.75" x14ac:dyDescent="0.5">
      <c r="A11" s="686" t="s">
        <v>25</v>
      </c>
      <c r="B11" s="686"/>
      <c r="C11" s="686"/>
      <c r="D11" s="686"/>
      <c r="E11" s="686"/>
      <c r="F11" s="686"/>
      <c r="G11" s="686"/>
      <c r="H11" s="686"/>
      <c r="I11" s="686"/>
      <c r="J11" s="686"/>
      <c r="K11" s="686"/>
      <c r="L11" s="686"/>
      <c r="M11" s="686"/>
      <c r="N11" s="686"/>
      <c r="O11" s="686"/>
      <c r="P11" s="686"/>
      <c r="Q11" s="686"/>
      <c r="R11" s="686"/>
      <c r="S11" s="686"/>
      <c r="T11" s="686"/>
      <c r="U11" s="686"/>
      <c r="V11" s="686"/>
      <c r="W11" s="686"/>
      <c r="X11" s="686"/>
      <c r="Y11" s="686"/>
      <c r="Z11" s="686"/>
      <c r="AA11" s="686"/>
      <c r="AB11" s="686"/>
      <c r="AC11" s="204"/>
      <c r="AD11" s="192" t="str">
        <f>SAISIE!AY9</f>
        <v>Version 220512</v>
      </c>
      <c r="AF11" s="40"/>
      <c r="AG11" s="40"/>
      <c r="AH11" s="40"/>
      <c r="AI11" s="40"/>
      <c r="AJ11" s="40"/>
      <c r="AK11" s="40"/>
      <c r="AL11" s="40"/>
      <c r="AM11" s="40"/>
      <c r="AN11" s="40"/>
      <c r="AO11" s="40"/>
      <c r="AP11" s="40"/>
      <c r="AQ11" s="40"/>
      <c r="AR11" s="40"/>
      <c r="AS11" s="40"/>
      <c r="AT11" s="40"/>
      <c r="AU11" s="40"/>
      <c r="AV11" s="40"/>
      <c r="AW11" s="40"/>
      <c r="AX11" s="40"/>
      <c r="AY11" s="40"/>
      <c r="AZ11" s="40"/>
      <c r="BA11" s="40"/>
      <c r="BB11" s="40"/>
    </row>
    <row r="12" spans="1:54" ht="23.25" customHeight="1" thickBot="1" x14ac:dyDescent="0.4">
      <c r="A12" s="682" t="s">
        <v>91</v>
      </c>
      <c r="B12" s="682"/>
      <c r="C12" s="682"/>
      <c r="D12" s="682"/>
      <c r="E12" s="682"/>
      <c r="F12" s="682"/>
      <c r="G12" s="682"/>
      <c r="H12" s="682"/>
      <c r="I12" s="682"/>
      <c r="J12" s="682"/>
      <c r="K12" s="682"/>
      <c r="L12" s="682"/>
      <c r="M12" s="682"/>
      <c r="N12" s="682"/>
      <c r="O12" s="682"/>
      <c r="P12" s="682"/>
      <c r="Q12" s="682"/>
      <c r="U12" s="70"/>
      <c r="V12" s="2"/>
      <c r="W12" s="70"/>
      <c r="X12" s="70"/>
      <c r="Y12" s="70"/>
    </row>
    <row r="13" spans="1:54" ht="15.75" thickBot="1" x14ac:dyDescent="0.3">
      <c r="E13" s="667" t="s">
        <v>163</v>
      </c>
      <c r="F13" s="668"/>
      <c r="G13" s="669"/>
      <c r="I13" s="664" t="s">
        <v>164</v>
      </c>
      <c r="J13" s="665"/>
      <c r="K13" s="665"/>
      <c r="L13" s="665"/>
      <c r="M13" s="665"/>
      <c r="N13" s="665"/>
      <c r="O13" s="665"/>
      <c r="P13" s="665"/>
      <c r="Q13" s="666"/>
      <c r="X13" s="667" t="s">
        <v>187</v>
      </c>
      <c r="Y13" s="668"/>
      <c r="Z13" s="669"/>
      <c r="AB13" s="667" t="s">
        <v>202</v>
      </c>
      <c r="AC13" s="668"/>
      <c r="AD13" s="669"/>
    </row>
    <row r="14" spans="1:54" ht="15" customHeight="1" x14ac:dyDescent="0.25">
      <c r="A14" s="680" t="str">
        <f>IF(SAISIE!G14="","",SAISIE!G14)</f>
        <v/>
      </c>
      <c r="B14" s="680"/>
      <c r="C14" s="680"/>
      <c r="D14" s="681"/>
      <c r="E14" s="670" t="str">
        <f>IF(SAISIE!S128="","",SAISIE!S128)</f>
        <v/>
      </c>
      <c r="F14" s="673" t="str">
        <f>IF(SAISIE!T128="","",SAISIE!T128)</f>
        <v/>
      </c>
      <c r="G14" s="651" t="str">
        <f>IF(SAISIE!U128="","",SAISIE!U128)</f>
        <v/>
      </c>
      <c r="I14" s="631" t="str">
        <f>IF(SAISIE!V128="","",SAISIE!V128)</f>
        <v/>
      </c>
      <c r="J14" s="632"/>
      <c r="K14" s="633"/>
      <c r="L14" s="637" t="str">
        <f>IF(SAISIE!W128="","",SAISIE!W128)</f>
        <v/>
      </c>
      <c r="M14" s="638"/>
      <c r="N14" s="639"/>
      <c r="O14" s="648" t="str">
        <f>IF(SAISIE!X128="","",SAISIE!X128)</f>
        <v/>
      </c>
      <c r="P14" s="649"/>
      <c r="Q14" s="650"/>
      <c r="T14" s="680" t="str">
        <f>IF(SAISIE!Z14="","",SAISIE!Z14)</f>
        <v/>
      </c>
      <c r="U14" s="680"/>
      <c r="V14" s="680"/>
      <c r="W14" s="681"/>
      <c r="X14" s="670" t="str">
        <f>IF(OR(E14="",F14=""),"",CONCATENATE(F14," / ",E14))</f>
        <v/>
      </c>
      <c r="Y14" s="673" t="str">
        <f>IF(OR(F14="",G14=""),"",CONCATENATE(G14," / ",F14))</f>
        <v/>
      </c>
      <c r="Z14" s="651" t="str">
        <f>IF(OR(E14="",G14=""),"",CONCATENATE(G14," / ",E14))</f>
        <v/>
      </c>
      <c r="AB14" s="670" t="str">
        <f>IF(OR(E14="",F14=""),"",CONCATENATE(F14," / ",E14))</f>
        <v/>
      </c>
      <c r="AC14" s="673" t="str">
        <f>IF(OR(F14="",G14=""),"",CONCATENATE(G14," / ",F14))</f>
        <v/>
      </c>
      <c r="AD14" s="651" t="str">
        <f>IF(OR(E14="",G14=""),"",CONCATENATE(G14, " / ",E14))</f>
        <v/>
      </c>
    </row>
    <row r="15" spans="1:54" ht="15" customHeight="1" x14ac:dyDescent="0.25">
      <c r="A15" s="680"/>
      <c r="B15" s="680"/>
      <c r="C15" s="680"/>
      <c r="D15" s="681"/>
      <c r="E15" s="671"/>
      <c r="F15" s="674"/>
      <c r="G15" s="652"/>
      <c r="I15" s="619" t="s">
        <v>162</v>
      </c>
      <c r="J15" s="635" t="s">
        <v>95</v>
      </c>
      <c r="K15" s="640" t="s">
        <v>96</v>
      </c>
      <c r="L15" s="619" t="s">
        <v>162</v>
      </c>
      <c r="M15" s="635" t="s">
        <v>95</v>
      </c>
      <c r="N15" s="640" t="s">
        <v>96</v>
      </c>
      <c r="O15" s="619" t="s">
        <v>162</v>
      </c>
      <c r="P15" s="635" t="s">
        <v>95</v>
      </c>
      <c r="Q15" s="640" t="s">
        <v>96</v>
      </c>
      <c r="T15" s="680"/>
      <c r="U15" s="680"/>
      <c r="V15" s="680"/>
      <c r="W15" s="681"/>
      <c r="X15" s="671"/>
      <c r="Y15" s="674"/>
      <c r="Z15" s="652"/>
      <c r="AB15" s="671" t="s">
        <v>162</v>
      </c>
      <c r="AC15" s="674" t="s">
        <v>162</v>
      </c>
      <c r="AD15" s="652" t="s">
        <v>162</v>
      </c>
    </row>
    <row r="16" spans="1:54" ht="15.75" thickBot="1" x14ac:dyDescent="0.3">
      <c r="A16" s="4"/>
      <c r="E16" s="672"/>
      <c r="F16" s="675"/>
      <c r="G16" s="653"/>
      <c r="I16" s="620"/>
      <c r="J16" s="636"/>
      <c r="K16" s="641"/>
      <c r="L16" s="620"/>
      <c r="M16" s="636"/>
      <c r="N16" s="641"/>
      <c r="O16" s="620"/>
      <c r="P16" s="636"/>
      <c r="Q16" s="641"/>
      <c r="T16" s="4"/>
      <c r="X16" s="672"/>
      <c r="Y16" s="675"/>
      <c r="Z16" s="653"/>
      <c r="AB16" s="672"/>
      <c r="AC16" s="675"/>
      <c r="AD16" s="653"/>
    </row>
    <row r="17" spans="1:30" ht="15.75" thickBot="1" x14ac:dyDescent="0.3">
      <c r="A17" s="687" t="s">
        <v>203</v>
      </c>
      <c r="B17" s="688"/>
      <c r="C17" s="688"/>
      <c r="D17" s="689"/>
      <c r="E17" s="121"/>
      <c r="F17" s="138"/>
      <c r="G17" s="166"/>
      <c r="I17" s="206" t="str">
        <f>IF(SAISIE!$N$13&lt;&gt;"ok","",IF(SAISIE!V129="","",SAISIE!V129))</f>
        <v/>
      </c>
      <c r="J17" s="207" t="str">
        <f>IF(SAISIE!$N$13&lt;&gt;"ok","",IF(SAISIE!Z129="","",SAISIE!Z129))</f>
        <v/>
      </c>
      <c r="K17" s="208" t="str">
        <f>IF(SAISIE!$N$13&lt;&gt;"ok","",IF(SAISIE!AD129="","",SAISIE!AD129))</f>
        <v/>
      </c>
      <c r="L17" s="209" t="str">
        <f>IF(SAISIE!$N$13&lt;&gt;"ok","",IF(SAISIE!W129="","",SAISIE!W129))</f>
        <v/>
      </c>
      <c r="M17" s="210" t="str">
        <f>IF(SAISIE!$N$13&lt;&gt;"ok","",IF(SAISIE!AA129="","",SAISIE!AA129))</f>
        <v/>
      </c>
      <c r="N17" s="211" t="str">
        <f>IF(SAISIE!$N$13&lt;&gt;"ok","",IF(SAISIE!AE129="","",SAISIE!AE129))</f>
        <v/>
      </c>
      <c r="O17" s="212" t="str">
        <f>IF(SAISIE!$N$13&lt;&gt;"ok","",IF(SAISIE!X129="","",SAISIE!X129))</f>
        <v/>
      </c>
      <c r="P17" s="213" t="str">
        <f>IF(SAISIE!$N$13&lt;&gt;"ok","",IF(SAISIE!AB129="","",SAISIE!AB129))</f>
        <v/>
      </c>
      <c r="Q17" s="214" t="str">
        <f>IF(SAISIE!$N$13&lt;&gt;"ok","",IF(SAISIE!AF129="","",SAISIE!AF129))</f>
        <v/>
      </c>
      <c r="T17" s="687" t="s">
        <v>198</v>
      </c>
      <c r="U17" s="688"/>
      <c r="V17" s="688"/>
      <c r="W17" s="689"/>
      <c r="X17" s="121" t="str">
        <f>IF(E17="","",E17)</f>
        <v/>
      </c>
      <c r="Y17" s="138" t="str">
        <f>IF(G17="","",G17)</f>
        <v/>
      </c>
      <c r="Z17" s="166" t="str">
        <f>IF(F17="","",F17)</f>
        <v/>
      </c>
      <c r="AB17" s="224" t="str">
        <f>IF(I17="","",I17)</f>
        <v/>
      </c>
      <c r="AC17" s="225" t="str">
        <f>IF(L17="","",L17)</f>
        <v/>
      </c>
      <c r="AD17" s="226" t="str">
        <f>IF(O17="","",O17)</f>
        <v/>
      </c>
    </row>
    <row r="18" spans="1:30" ht="15" customHeight="1" x14ac:dyDescent="0.25">
      <c r="A18" s="690" t="str">
        <f>SAISIE!C132</f>
        <v>Semences</v>
      </c>
      <c r="B18" s="691"/>
      <c r="C18" s="691"/>
      <c r="D18" s="692"/>
      <c r="E18" s="122" t="str">
        <f>IF(SAISIE!$N$13&lt;&gt;"ok","",IF(SAISIE!S132="","",SAISIE!S132))</f>
        <v/>
      </c>
      <c r="F18" s="119" t="str">
        <f>IF(SAISIE!$N$13&lt;&gt;"ok","",IF(SAISIE!T132="","",SAISIE!T132))</f>
        <v/>
      </c>
      <c r="G18" s="120" t="str">
        <f>IF(SAISIE!$N$13&lt;&gt;"ok","",IF(SAISIE!U132="","",SAISIE!U132))</f>
        <v/>
      </c>
      <c r="I18" s="126" t="str">
        <f>IF(SAISIE!$N$13&lt;&gt;"ok","",IF(SAISIE!V132="","",SAISIE!V132))</f>
        <v/>
      </c>
      <c r="J18" s="127" t="str">
        <f>IF(SAISIE!$N$13&lt;&gt;"ok","",IF(SAISIE!Z132="","",SAISIE!Z132))</f>
        <v/>
      </c>
      <c r="K18" s="128" t="str">
        <f>IF(SAISIE!$N$13&lt;&gt;"ok","",IF(SAISIE!AD132="","",SAISIE!AD132))</f>
        <v/>
      </c>
      <c r="L18" s="142" t="str">
        <f>IF(SAISIE!$N$13&lt;&gt;"ok","",IF(SAISIE!W132="","",SAISIE!W132))</f>
        <v/>
      </c>
      <c r="M18" s="143" t="str">
        <f>IF(SAISIE!$N$13&lt;&gt;"ok","",IF(SAISIE!AA132="","",SAISIE!AA132))</f>
        <v/>
      </c>
      <c r="N18" s="144" t="str">
        <f>IF(SAISIE!$N$13&lt;&gt;"ok","",IF(SAISIE!AE132="","",SAISIE!AE132))</f>
        <v/>
      </c>
      <c r="O18" s="154" t="str">
        <f>IF(SAISIE!$N$13&lt;&gt;"ok","",IF(SAISIE!X132="","",SAISIE!X132))</f>
        <v/>
      </c>
      <c r="P18" s="155" t="str">
        <f>IF(SAISIE!$N$13&lt;&gt;"ok","",IF(SAISIE!AB132="","",SAISIE!AB132))</f>
        <v/>
      </c>
      <c r="Q18" s="156" t="str">
        <f>IF(SAISIE!$N$13&lt;&gt;"ok","",IF(SAISIE!AF132="","",SAISIE!AF132))</f>
        <v/>
      </c>
      <c r="T18" s="690" t="str">
        <f>A18</f>
        <v>Semences</v>
      </c>
      <c r="U18" s="691"/>
      <c r="V18" s="691"/>
      <c r="W18" s="692"/>
      <c r="X18" s="122" t="str">
        <f>IF(OR(E18="",F18=""),"",F18-E18)</f>
        <v/>
      </c>
      <c r="Y18" s="119" t="str">
        <f>IF(OR(F18="",G18=""),"",G18-F18)</f>
        <v/>
      </c>
      <c r="Z18" s="120" t="str">
        <f>IF(OR(E18="",G18=""),"",G18-E18)</f>
        <v/>
      </c>
      <c r="AB18" s="199" t="str">
        <f>IF(OR(I18="",L18=""),"",L18-I18)</f>
        <v/>
      </c>
      <c r="AC18" s="193" t="str">
        <f>IF(OR(L18="",O18=""),"",O18-L18)</f>
        <v/>
      </c>
      <c r="AD18" s="194" t="str">
        <f>IF(OR(I18="",O18=""),"",O18-I18)</f>
        <v/>
      </c>
    </row>
    <row r="19" spans="1:30" ht="15" customHeight="1" x14ac:dyDescent="0.25">
      <c r="A19" s="693" t="str">
        <f>SAISIE!C133</f>
        <v>Engrais total</v>
      </c>
      <c r="B19" s="694"/>
      <c r="C19" s="694"/>
      <c r="D19" s="695"/>
      <c r="E19" s="121" t="str">
        <f>IF(SAISIE!$N$13&lt;&gt;"ok","",IF(SAISIE!S133="","",SAISIE!S133))</f>
        <v/>
      </c>
      <c r="F19" s="138" t="str">
        <f>IF(SAISIE!$N$13&lt;&gt;"ok","",IF(SAISIE!T133="","",SAISIE!T133))</f>
        <v/>
      </c>
      <c r="G19" s="166" t="str">
        <f>IF(SAISIE!$N$13&lt;&gt;"ok","",IF(SAISIE!U133="","",SAISIE!U133))</f>
        <v/>
      </c>
      <c r="I19" s="98" t="str">
        <f>IF(SAISIE!$N$13&lt;&gt;"ok","",IF(SAISIE!V133="","",SAISIE!V133))</f>
        <v/>
      </c>
      <c r="J19" s="99" t="str">
        <f>IF(SAISIE!$N$13&lt;&gt;"ok","",IF(SAISIE!Z133="","",SAISIE!Z133))</f>
        <v/>
      </c>
      <c r="K19" s="100" t="str">
        <f>IF(SAISIE!$N$13&lt;&gt;"ok","",IF(SAISIE!AD133="","",SAISIE!AD133))</f>
        <v/>
      </c>
      <c r="L19" s="86" t="str">
        <f>IF(SAISIE!$N$13&lt;&gt;"ok","",IF(SAISIE!W133="","",SAISIE!W133))</f>
        <v/>
      </c>
      <c r="M19" s="87" t="str">
        <f>IF(SAISIE!$N$13&lt;&gt;"ok","",IF(SAISIE!AA133="","",SAISIE!AA133))</f>
        <v/>
      </c>
      <c r="N19" s="88" t="str">
        <f>IF(SAISIE!$N$13&lt;&gt;"ok","",IF(SAISIE!AE133="","",SAISIE!AE133))</f>
        <v/>
      </c>
      <c r="O19" s="110" t="str">
        <f>IF(SAISIE!$N$13&lt;&gt;"ok","",IF(SAISIE!X133="","",SAISIE!X133))</f>
        <v/>
      </c>
      <c r="P19" s="111" t="str">
        <f>IF(SAISIE!$N$13&lt;&gt;"ok","",IF(SAISIE!AB133="","",SAISIE!AB133))</f>
        <v/>
      </c>
      <c r="Q19" s="112" t="str">
        <f>IF(SAISIE!$N$13&lt;&gt;"ok","",IF(SAISIE!AF133="","",SAISIE!AF133))</f>
        <v/>
      </c>
      <c r="T19" s="693" t="str">
        <f t="shared" ref="T19:T32" si="0">A19</f>
        <v>Engrais total</v>
      </c>
      <c r="U19" s="694"/>
      <c r="V19" s="694"/>
      <c r="W19" s="695"/>
      <c r="X19" s="121" t="str">
        <f t="shared" ref="X19:X32" si="1">IF(OR(E19="",F19=""),"",F19-E19)</f>
        <v/>
      </c>
      <c r="Y19" s="138" t="str">
        <f t="shared" ref="Y19:Y32" si="2">IF(OR(F19="",G19=""),"",G19-F19)</f>
        <v/>
      </c>
      <c r="Z19" s="166" t="str">
        <f t="shared" ref="Z19:Z32" si="3">IF(OR(E19="",G19=""),"",G19-E19)</f>
        <v/>
      </c>
      <c r="AB19" s="195" t="str">
        <f t="shared" ref="AB19:AB32" si="4">IF(OR(I19="",L19=""),"",L19-I19)</f>
        <v/>
      </c>
      <c r="AC19" s="197" t="str">
        <f t="shared" ref="AC19:AC32" si="5">IF(OR(L19="",O19=""),"",O19-L19)</f>
        <v/>
      </c>
      <c r="AD19" s="200" t="str">
        <f t="shared" ref="AD19:AD32" si="6">IF(OR(I19="",O19=""),"",O19-I19)</f>
        <v/>
      </c>
    </row>
    <row r="20" spans="1:30" ht="15" customHeight="1" x14ac:dyDescent="0.25">
      <c r="A20" s="696" t="str">
        <f>SAISIE!C134</f>
        <v>dont Azote simple</v>
      </c>
      <c r="B20" s="697"/>
      <c r="C20" s="697"/>
      <c r="D20" s="698"/>
      <c r="E20" s="121" t="str">
        <f>IF(SAISIE!$N$13&lt;&gt;"ok","",IF(SAISIE!S134="","",SAISIE!S134))</f>
        <v/>
      </c>
      <c r="F20" s="138" t="str">
        <f>IF(SAISIE!$N$13&lt;&gt;"ok","",IF(SAISIE!T134="","",SAISIE!T134))</f>
        <v/>
      </c>
      <c r="G20" s="166" t="str">
        <f>IF(SAISIE!$N$13&lt;&gt;"ok","",IF(SAISIE!U134="","",SAISIE!U134))</f>
        <v/>
      </c>
      <c r="I20" s="98" t="str">
        <f>IF(SAISIE!$N$13&lt;&gt;"ok","",IF(SAISIE!V134="","",SAISIE!V134))</f>
        <v/>
      </c>
      <c r="J20" s="99" t="str">
        <f>IF(SAISIE!$N$13&lt;&gt;"ok","",IF(SAISIE!Z134="","",SAISIE!Z134))</f>
        <v/>
      </c>
      <c r="K20" s="100" t="str">
        <f>IF(SAISIE!$N$13&lt;&gt;"ok","",IF(SAISIE!AD134="","",SAISIE!AD134))</f>
        <v/>
      </c>
      <c r="L20" s="86" t="str">
        <f>IF(SAISIE!$N$13&lt;&gt;"ok","",IF(SAISIE!W134="","",SAISIE!W134))</f>
        <v/>
      </c>
      <c r="M20" s="87" t="str">
        <f>IF(SAISIE!$N$13&lt;&gt;"ok","",IF(SAISIE!AA134="","",SAISIE!AA134))</f>
        <v/>
      </c>
      <c r="N20" s="88" t="str">
        <f>IF(SAISIE!$N$13&lt;&gt;"ok","",IF(SAISIE!AE134="","",SAISIE!AE134))</f>
        <v/>
      </c>
      <c r="O20" s="110" t="str">
        <f>IF(SAISIE!$N$13&lt;&gt;"ok","",IF(SAISIE!X134="","",SAISIE!X134))</f>
        <v/>
      </c>
      <c r="P20" s="111" t="str">
        <f>IF(SAISIE!$N$13&lt;&gt;"ok","",IF(SAISIE!AB134="","",SAISIE!AB134))</f>
        <v/>
      </c>
      <c r="Q20" s="112" t="str">
        <f>IF(SAISIE!$N$13&lt;&gt;"ok","",IF(SAISIE!AF134="","",SAISIE!AF134))</f>
        <v/>
      </c>
      <c r="T20" s="696" t="str">
        <f t="shared" si="0"/>
        <v>dont Azote simple</v>
      </c>
      <c r="U20" s="697"/>
      <c r="V20" s="697"/>
      <c r="W20" s="698"/>
      <c r="X20" s="121" t="str">
        <f t="shared" si="1"/>
        <v/>
      </c>
      <c r="Y20" s="138" t="str">
        <f t="shared" si="2"/>
        <v/>
      </c>
      <c r="Z20" s="166" t="str">
        <f t="shared" si="3"/>
        <v/>
      </c>
      <c r="AB20" s="195" t="str">
        <f t="shared" si="4"/>
        <v/>
      </c>
      <c r="AC20" s="197" t="str">
        <f t="shared" si="5"/>
        <v/>
      </c>
      <c r="AD20" s="200" t="str">
        <f t="shared" si="6"/>
        <v/>
      </c>
    </row>
    <row r="21" spans="1:30" ht="15" customHeight="1" x14ac:dyDescent="0.25">
      <c r="A21" s="693" t="str">
        <f>SAISIE!C135</f>
        <v>Produits phytosanitaires</v>
      </c>
      <c r="B21" s="694"/>
      <c r="C21" s="694"/>
      <c r="D21" s="695"/>
      <c r="E21" s="121" t="str">
        <f>IF(SAISIE!$N$13&lt;&gt;"ok","",IF(SAISIE!S135="","",SAISIE!S135))</f>
        <v/>
      </c>
      <c r="F21" s="138" t="str">
        <f>IF(SAISIE!$N$13&lt;&gt;"ok","",IF(SAISIE!T135="","",SAISIE!T135))</f>
        <v/>
      </c>
      <c r="G21" s="166" t="str">
        <f>IF(SAISIE!$N$13&lt;&gt;"ok","",IF(SAISIE!U135="","",SAISIE!U135))</f>
        <v/>
      </c>
      <c r="I21" s="98" t="str">
        <f>IF(SAISIE!$N$13&lt;&gt;"ok","",IF(SAISIE!V135="","",SAISIE!V135))</f>
        <v/>
      </c>
      <c r="J21" s="99" t="str">
        <f>IF(SAISIE!$N$13&lt;&gt;"ok","",IF(SAISIE!Z135="","",SAISIE!Z135))</f>
        <v/>
      </c>
      <c r="K21" s="100" t="str">
        <f>IF(SAISIE!$N$13&lt;&gt;"ok","",IF(SAISIE!AD135="","",SAISIE!AD135))</f>
        <v/>
      </c>
      <c r="L21" s="86" t="str">
        <f>IF(SAISIE!$N$13&lt;&gt;"ok","",IF(SAISIE!W135="","",SAISIE!W135))</f>
        <v/>
      </c>
      <c r="M21" s="87" t="str">
        <f>IF(SAISIE!$N$13&lt;&gt;"ok","",IF(SAISIE!AA135="","",SAISIE!AA135))</f>
        <v/>
      </c>
      <c r="N21" s="88" t="str">
        <f>IF(SAISIE!$N$13&lt;&gt;"ok","",IF(SAISIE!AE135="","",SAISIE!AE135))</f>
        <v/>
      </c>
      <c r="O21" s="110" t="str">
        <f>IF(SAISIE!$N$13&lt;&gt;"ok","",IF(SAISIE!X135="","",SAISIE!X135))</f>
        <v/>
      </c>
      <c r="P21" s="111" t="str">
        <f>IF(SAISIE!$N$13&lt;&gt;"ok","",IF(SAISIE!AB135="","",SAISIE!AB135))</f>
        <v/>
      </c>
      <c r="Q21" s="112" t="str">
        <f>IF(SAISIE!$N$13&lt;&gt;"ok","",IF(SAISIE!AF135="","",SAISIE!AF135))</f>
        <v/>
      </c>
      <c r="T21" s="693" t="str">
        <f t="shared" si="0"/>
        <v>Produits phytosanitaires</v>
      </c>
      <c r="U21" s="694"/>
      <c r="V21" s="694"/>
      <c r="W21" s="695"/>
      <c r="X21" s="121" t="str">
        <f t="shared" si="1"/>
        <v/>
      </c>
      <c r="Y21" s="138" t="str">
        <f t="shared" si="2"/>
        <v/>
      </c>
      <c r="Z21" s="166" t="str">
        <f t="shared" si="3"/>
        <v/>
      </c>
      <c r="AB21" s="195" t="str">
        <f t="shared" si="4"/>
        <v/>
      </c>
      <c r="AC21" s="197" t="str">
        <f t="shared" si="5"/>
        <v/>
      </c>
      <c r="AD21" s="200" t="str">
        <f t="shared" si="6"/>
        <v/>
      </c>
    </row>
    <row r="22" spans="1:30" ht="15" customHeight="1" x14ac:dyDescent="0.25">
      <c r="A22" s="693" t="str">
        <f>SAISIE!C136</f>
        <v>Irrigation (redevance+énergie)</v>
      </c>
      <c r="B22" s="694"/>
      <c r="C22" s="694"/>
      <c r="D22" s="695"/>
      <c r="E22" s="121" t="str">
        <f>IF(SAISIE!$N$13&lt;&gt;"ok","",IF(SAISIE!S136="","",SAISIE!S136))</f>
        <v/>
      </c>
      <c r="F22" s="138" t="str">
        <f>IF(SAISIE!$N$13&lt;&gt;"ok","",IF(SAISIE!T136="","",SAISIE!T136))</f>
        <v/>
      </c>
      <c r="G22" s="166" t="str">
        <f>IF(SAISIE!$N$13&lt;&gt;"ok","",IF(SAISIE!U136="","",SAISIE!U136))</f>
        <v/>
      </c>
      <c r="I22" s="98" t="str">
        <f>IF(SAISIE!$N$13&lt;&gt;"ok","",IF(SAISIE!V136="","",SAISIE!V136))</f>
        <v/>
      </c>
      <c r="J22" s="99" t="str">
        <f>IF(SAISIE!$N$13&lt;&gt;"ok","",IF(SAISIE!Z136="","",SAISIE!Z136))</f>
        <v/>
      </c>
      <c r="K22" s="100" t="str">
        <f>IF(SAISIE!$N$13&lt;&gt;"ok","",IF(SAISIE!AD136="","",SAISIE!AD136))</f>
        <v/>
      </c>
      <c r="L22" s="86" t="str">
        <f>IF(SAISIE!$N$13&lt;&gt;"ok","",IF(SAISIE!W136="","",SAISIE!W136))</f>
        <v/>
      </c>
      <c r="M22" s="87" t="str">
        <f>IF(SAISIE!$N$13&lt;&gt;"ok","",IF(SAISIE!AA136="","",SAISIE!AA136))</f>
        <v/>
      </c>
      <c r="N22" s="88" t="str">
        <f>IF(SAISIE!$N$13&lt;&gt;"ok","",IF(SAISIE!AE136="","",SAISIE!AE136))</f>
        <v/>
      </c>
      <c r="O22" s="110" t="str">
        <f>IF(SAISIE!$N$13&lt;&gt;"ok","",IF(SAISIE!X136="","",SAISIE!X136))</f>
        <v/>
      </c>
      <c r="P22" s="111" t="str">
        <f>IF(SAISIE!$N$13&lt;&gt;"ok","",IF(SAISIE!AB136="","",SAISIE!AB136))</f>
        <v/>
      </c>
      <c r="Q22" s="112" t="str">
        <f>IF(SAISIE!$N$13&lt;&gt;"ok","",IF(SAISIE!AF136="","",SAISIE!AF136))</f>
        <v/>
      </c>
      <c r="T22" s="693" t="str">
        <f t="shared" si="0"/>
        <v>Irrigation (redevance+énergie)</v>
      </c>
      <c r="U22" s="694"/>
      <c r="V22" s="694"/>
      <c r="W22" s="695"/>
      <c r="X22" s="121" t="str">
        <f t="shared" si="1"/>
        <v/>
      </c>
      <c r="Y22" s="138" t="str">
        <f t="shared" si="2"/>
        <v/>
      </c>
      <c r="Z22" s="166" t="str">
        <f t="shared" si="3"/>
        <v/>
      </c>
      <c r="AB22" s="195" t="str">
        <f t="shared" si="4"/>
        <v/>
      </c>
      <c r="AC22" s="197" t="str">
        <f t="shared" si="5"/>
        <v/>
      </c>
      <c r="AD22" s="200" t="str">
        <f t="shared" si="6"/>
        <v/>
      </c>
    </row>
    <row r="23" spans="1:30" ht="15" customHeight="1" x14ac:dyDescent="0.25">
      <c r="A23" s="693" t="str">
        <f>SAISIE!C137</f>
        <v>Autres intrants</v>
      </c>
      <c r="B23" s="694"/>
      <c r="C23" s="694"/>
      <c r="D23" s="695"/>
      <c r="E23" s="121" t="str">
        <f>IF(SAISIE!$N$13&lt;&gt;"ok","",IF(SAISIE!S137="","",SAISIE!S137))</f>
        <v/>
      </c>
      <c r="F23" s="138" t="str">
        <f>IF(SAISIE!$N$13&lt;&gt;"ok","",IF(SAISIE!T137="","",SAISIE!T137))</f>
        <v/>
      </c>
      <c r="G23" s="166" t="str">
        <f>IF(SAISIE!$N$13&lt;&gt;"ok","",IF(SAISIE!U137="","",SAISIE!U137))</f>
        <v/>
      </c>
      <c r="I23" s="98" t="str">
        <f>IF(SAISIE!$N$13&lt;&gt;"ok","",IF(SAISIE!V137="","",SAISIE!V137))</f>
        <v/>
      </c>
      <c r="J23" s="99" t="str">
        <f>IF(SAISIE!$N$13&lt;&gt;"ok","",IF(SAISIE!Z137="","",SAISIE!Z137))</f>
        <v/>
      </c>
      <c r="K23" s="100" t="str">
        <f>IF(SAISIE!$N$13&lt;&gt;"ok","",IF(SAISIE!AD137="","",SAISIE!AD137))</f>
        <v/>
      </c>
      <c r="L23" s="86" t="str">
        <f>IF(SAISIE!$N$13&lt;&gt;"ok","",IF(SAISIE!W137="","",SAISIE!W137))</f>
        <v/>
      </c>
      <c r="M23" s="87" t="str">
        <f>IF(SAISIE!$N$13&lt;&gt;"ok","",IF(SAISIE!AA137="","",SAISIE!AA137))</f>
        <v/>
      </c>
      <c r="N23" s="88" t="str">
        <f>IF(SAISIE!$N$13&lt;&gt;"ok","",IF(SAISIE!AE137="","",SAISIE!AE137))</f>
        <v/>
      </c>
      <c r="O23" s="110" t="str">
        <f>IF(SAISIE!$N$13&lt;&gt;"ok","",IF(SAISIE!X137="","",SAISIE!X137))</f>
        <v/>
      </c>
      <c r="P23" s="111" t="str">
        <f>IF(SAISIE!$N$13&lt;&gt;"ok","",IF(SAISIE!AB137="","",SAISIE!AB137))</f>
        <v/>
      </c>
      <c r="Q23" s="112" t="str">
        <f>IF(SAISIE!$N$13&lt;&gt;"ok","",IF(SAISIE!AF137="","",SAISIE!AF137))</f>
        <v/>
      </c>
      <c r="T23" s="693" t="str">
        <f t="shared" si="0"/>
        <v>Autres intrants</v>
      </c>
      <c r="U23" s="694"/>
      <c r="V23" s="694"/>
      <c r="W23" s="695"/>
      <c r="X23" s="121" t="str">
        <f t="shared" si="1"/>
        <v/>
      </c>
      <c r="Y23" s="138" t="str">
        <f t="shared" si="2"/>
        <v/>
      </c>
      <c r="Z23" s="166" t="str">
        <f t="shared" si="3"/>
        <v/>
      </c>
      <c r="AB23" s="195" t="str">
        <f t="shared" si="4"/>
        <v/>
      </c>
      <c r="AC23" s="197" t="str">
        <f t="shared" si="5"/>
        <v/>
      </c>
      <c r="AD23" s="200" t="str">
        <f t="shared" si="6"/>
        <v/>
      </c>
    </row>
    <row r="24" spans="1:30" ht="15" customHeight="1" x14ac:dyDescent="0.25">
      <c r="A24" s="693" t="str">
        <f>SAISIE!C138</f>
        <v>Séchage</v>
      </c>
      <c r="B24" s="694"/>
      <c r="C24" s="694"/>
      <c r="D24" s="695"/>
      <c r="E24" s="121" t="str">
        <f>IF(SAISIE!$N$13&lt;&gt;"ok","",IF(SAISIE!S138="","",SAISIE!S138))</f>
        <v/>
      </c>
      <c r="F24" s="138" t="str">
        <f>IF(SAISIE!$N$13&lt;&gt;"ok","",IF(SAISIE!T138="","",SAISIE!T138))</f>
        <v/>
      </c>
      <c r="G24" s="166" t="str">
        <f>IF(SAISIE!$N$13&lt;&gt;"ok","",IF(SAISIE!U138="","",SAISIE!U138))</f>
        <v/>
      </c>
      <c r="I24" s="98" t="str">
        <f>IF(SAISIE!$N$13&lt;&gt;"ok","",IF(SAISIE!V138="","",SAISIE!V138))</f>
        <v/>
      </c>
      <c r="J24" s="99" t="str">
        <f>IF(SAISIE!$N$13&lt;&gt;"ok","",IF(SAISIE!Z138="","",SAISIE!Z138))</f>
        <v/>
      </c>
      <c r="K24" s="100" t="str">
        <f>IF(SAISIE!$N$13&lt;&gt;"ok","",IF(SAISIE!AD138="","",SAISIE!AD138))</f>
        <v/>
      </c>
      <c r="L24" s="86" t="str">
        <f>IF(SAISIE!$N$13&lt;&gt;"ok","",IF(SAISIE!W138="","",SAISIE!W138))</f>
        <v/>
      </c>
      <c r="M24" s="87" t="str">
        <f>IF(SAISIE!$N$13&lt;&gt;"ok","",IF(SAISIE!AA138="","",SAISIE!AA138))</f>
        <v/>
      </c>
      <c r="N24" s="88" t="str">
        <f>IF(SAISIE!$N$13&lt;&gt;"ok","",IF(SAISIE!AE138="","",SAISIE!AE138))</f>
        <v/>
      </c>
      <c r="O24" s="110" t="str">
        <f>IF(SAISIE!$N$13&lt;&gt;"ok","",IF(SAISIE!X138="","",SAISIE!X138))</f>
        <v/>
      </c>
      <c r="P24" s="111" t="str">
        <f>IF(SAISIE!$N$13&lt;&gt;"ok","",IF(SAISIE!AB138="","",SAISIE!AB138))</f>
        <v/>
      </c>
      <c r="Q24" s="112" t="str">
        <f>IF(SAISIE!$N$13&lt;&gt;"ok","",IF(SAISIE!AF138="","",SAISIE!AF138))</f>
        <v/>
      </c>
      <c r="T24" s="693" t="str">
        <f t="shared" si="0"/>
        <v>Séchage</v>
      </c>
      <c r="U24" s="694"/>
      <c r="V24" s="694"/>
      <c r="W24" s="695"/>
      <c r="X24" s="121" t="str">
        <f t="shared" si="1"/>
        <v/>
      </c>
      <c r="Y24" s="138" t="str">
        <f t="shared" si="2"/>
        <v/>
      </c>
      <c r="Z24" s="166" t="str">
        <f t="shared" si="3"/>
        <v/>
      </c>
      <c r="AB24" s="195" t="str">
        <f t="shared" si="4"/>
        <v/>
      </c>
      <c r="AC24" s="197" t="str">
        <f t="shared" si="5"/>
        <v/>
      </c>
      <c r="AD24" s="200" t="str">
        <f t="shared" si="6"/>
        <v/>
      </c>
    </row>
    <row r="25" spans="1:30" ht="15" customHeight="1" x14ac:dyDescent="0.25">
      <c r="A25" s="693" t="str">
        <f>SAISIE!C139</f>
        <v>Stockage (énergie)</v>
      </c>
      <c r="B25" s="694"/>
      <c r="C25" s="694"/>
      <c r="D25" s="695"/>
      <c r="E25" s="121" t="str">
        <f>IF(SAISIE!$N$13&lt;&gt;"ok","",IF(SAISIE!S139="","",SAISIE!S139))</f>
        <v/>
      </c>
      <c r="F25" s="138" t="str">
        <f>IF(SAISIE!$N$13&lt;&gt;"ok","",IF(SAISIE!T139="","",SAISIE!T139))</f>
        <v/>
      </c>
      <c r="G25" s="166" t="str">
        <f>IF(SAISIE!$N$13&lt;&gt;"ok","",IF(SAISIE!U139="","",SAISIE!U139))</f>
        <v/>
      </c>
      <c r="I25" s="98" t="str">
        <f>IF(SAISIE!$N$13&lt;&gt;"ok","",IF(SAISIE!V139="","",SAISIE!V139))</f>
        <v/>
      </c>
      <c r="J25" s="99" t="str">
        <f>IF(SAISIE!$N$13&lt;&gt;"ok","",IF(SAISIE!Z139="","",SAISIE!Z139))</f>
        <v/>
      </c>
      <c r="K25" s="100" t="str">
        <f>IF(SAISIE!$N$13&lt;&gt;"ok","",IF(SAISIE!AD139="","",SAISIE!AD139))</f>
        <v/>
      </c>
      <c r="L25" s="86" t="str">
        <f>IF(SAISIE!$N$13&lt;&gt;"ok","",IF(SAISIE!W139="","",SAISIE!W139))</f>
        <v/>
      </c>
      <c r="M25" s="87" t="str">
        <f>IF(SAISIE!$N$13&lt;&gt;"ok","",IF(SAISIE!AA139="","",SAISIE!AA139))</f>
        <v/>
      </c>
      <c r="N25" s="88" t="str">
        <f>IF(SAISIE!$N$13&lt;&gt;"ok","",IF(SAISIE!AE139="","",SAISIE!AE139))</f>
        <v/>
      </c>
      <c r="O25" s="110" t="str">
        <f>IF(SAISIE!$N$13&lt;&gt;"ok","",IF(SAISIE!X139="","",SAISIE!X139))</f>
        <v/>
      </c>
      <c r="P25" s="111" t="str">
        <f>IF(SAISIE!$N$13&lt;&gt;"ok","",IF(SAISIE!AB139="","",SAISIE!AB139))</f>
        <v/>
      </c>
      <c r="Q25" s="112" t="str">
        <f>IF(SAISIE!$N$13&lt;&gt;"ok","",IF(SAISIE!AF139="","",SAISIE!AF139))</f>
        <v/>
      </c>
      <c r="T25" s="693" t="str">
        <f t="shared" si="0"/>
        <v>Stockage (énergie)</v>
      </c>
      <c r="U25" s="694"/>
      <c r="V25" s="694"/>
      <c r="W25" s="695"/>
      <c r="X25" s="121" t="str">
        <f t="shared" si="1"/>
        <v/>
      </c>
      <c r="Y25" s="138" t="str">
        <f t="shared" si="2"/>
        <v/>
      </c>
      <c r="Z25" s="166" t="str">
        <f t="shared" si="3"/>
        <v/>
      </c>
      <c r="AB25" s="195" t="str">
        <f t="shared" si="4"/>
        <v/>
      </c>
      <c r="AC25" s="197" t="str">
        <f t="shared" si="5"/>
        <v/>
      </c>
      <c r="AD25" s="200" t="str">
        <f t="shared" si="6"/>
        <v/>
      </c>
    </row>
    <row r="26" spans="1:30" ht="15" customHeight="1" x14ac:dyDescent="0.25">
      <c r="A26" s="693" t="str">
        <f>SAISIE!C140</f>
        <v>Carburant</v>
      </c>
      <c r="B26" s="694"/>
      <c r="C26" s="694"/>
      <c r="D26" s="695"/>
      <c r="E26" s="121" t="str">
        <f>IF(SAISIE!$N$13&lt;&gt;"ok","",IF(SAISIE!S140="","",SAISIE!S140))</f>
        <v/>
      </c>
      <c r="F26" s="138" t="str">
        <f>IF(SAISIE!$N$13&lt;&gt;"ok","",IF(SAISIE!T140="","",SAISIE!T140))</f>
        <v/>
      </c>
      <c r="G26" s="166" t="str">
        <f>IF(SAISIE!$N$13&lt;&gt;"ok","",IF(SAISIE!U140="","",SAISIE!U140))</f>
        <v/>
      </c>
      <c r="I26" s="98" t="str">
        <f>IF(SAISIE!$N$13&lt;&gt;"ok","",IF(SAISIE!V140="","",SAISIE!V140))</f>
        <v/>
      </c>
      <c r="J26" s="99" t="str">
        <f>IF(SAISIE!$N$13&lt;&gt;"ok","",IF(SAISIE!Z140="","",SAISIE!Z140))</f>
        <v/>
      </c>
      <c r="K26" s="100" t="str">
        <f>IF(SAISIE!$N$13&lt;&gt;"ok","",IF(SAISIE!AD140="","",SAISIE!AD140))</f>
        <v/>
      </c>
      <c r="L26" s="86" t="str">
        <f>IF(SAISIE!$N$13&lt;&gt;"ok","",IF(SAISIE!W140="","",SAISIE!W140))</f>
        <v/>
      </c>
      <c r="M26" s="87" t="str">
        <f>IF(SAISIE!$N$13&lt;&gt;"ok","",IF(SAISIE!AA140="","",SAISIE!AA140))</f>
        <v/>
      </c>
      <c r="N26" s="88" t="str">
        <f>IF(SAISIE!$N$13&lt;&gt;"ok","",IF(SAISIE!AE140="","",SAISIE!AE140))</f>
        <v/>
      </c>
      <c r="O26" s="110" t="str">
        <f>IF(SAISIE!$N$13&lt;&gt;"ok","",IF(SAISIE!X140="","",SAISIE!X140))</f>
        <v/>
      </c>
      <c r="P26" s="111" t="str">
        <f>IF(SAISIE!$N$13&lt;&gt;"ok","",IF(SAISIE!AB140="","",SAISIE!AB140))</f>
        <v/>
      </c>
      <c r="Q26" s="112" t="str">
        <f>IF(SAISIE!$N$13&lt;&gt;"ok","",IF(SAISIE!AF140="","",SAISIE!AF140))</f>
        <v/>
      </c>
      <c r="T26" s="693" t="str">
        <f t="shared" si="0"/>
        <v>Carburant</v>
      </c>
      <c r="U26" s="694"/>
      <c r="V26" s="694"/>
      <c r="W26" s="695"/>
      <c r="X26" s="121" t="str">
        <f t="shared" si="1"/>
        <v/>
      </c>
      <c r="Y26" s="138" t="str">
        <f t="shared" si="2"/>
        <v/>
      </c>
      <c r="Z26" s="166" t="str">
        <f t="shared" si="3"/>
        <v/>
      </c>
      <c r="AB26" s="195" t="str">
        <f t="shared" si="4"/>
        <v/>
      </c>
      <c r="AC26" s="197" t="str">
        <f t="shared" si="5"/>
        <v/>
      </c>
      <c r="AD26" s="200" t="str">
        <f t="shared" si="6"/>
        <v/>
      </c>
    </row>
    <row r="27" spans="1:30" ht="15" customHeight="1" x14ac:dyDescent="0.25">
      <c r="A27" s="693" t="str">
        <f>SAISIE!C141</f>
        <v>Entretien-réparation</v>
      </c>
      <c r="B27" s="694"/>
      <c r="C27" s="694"/>
      <c r="D27" s="695"/>
      <c r="E27" s="121" t="str">
        <f>IF(SAISIE!$N$13&lt;&gt;"ok","",IF(SAISIE!S141="","",SAISIE!S141))</f>
        <v/>
      </c>
      <c r="F27" s="138" t="str">
        <f>IF(SAISIE!$N$13&lt;&gt;"ok","",IF(SAISIE!T141="","",SAISIE!T141))</f>
        <v/>
      </c>
      <c r="G27" s="166" t="str">
        <f>IF(SAISIE!$N$13&lt;&gt;"ok","",IF(SAISIE!U141="","",SAISIE!U141))</f>
        <v/>
      </c>
      <c r="I27" s="98" t="str">
        <f>IF(SAISIE!$N$13&lt;&gt;"ok","",IF(SAISIE!V141="","",SAISIE!V141))</f>
        <v/>
      </c>
      <c r="J27" s="99" t="str">
        <f>IF(SAISIE!$N$13&lt;&gt;"ok","",IF(SAISIE!Z141="","",SAISIE!Z141))</f>
        <v/>
      </c>
      <c r="K27" s="100" t="str">
        <f>IF(SAISIE!$N$13&lt;&gt;"ok","",IF(SAISIE!AD141="","",SAISIE!AD141))</f>
        <v/>
      </c>
      <c r="L27" s="86" t="str">
        <f>IF(SAISIE!$N$13&lt;&gt;"ok","",IF(SAISIE!W141="","",SAISIE!W141))</f>
        <v/>
      </c>
      <c r="M27" s="87" t="str">
        <f>IF(SAISIE!$N$13&lt;&gt;"ok","",IF(SAISIE!AA141="","",SAISIE!AA141))</f>
        <v/>
      </c>
      <c r="N27" s="88" t="str">
        <f>IF(SAISIE!$N$13&lt;&gt;"ok","",IF(SAISIE!AE141="","",SAISIE!AE141))</f>
        <v/>
      </c>
      <c r="O27" s="110" t="str">
        <f>IF(SAISIE!$N$13&lt;&gt;"ok","",IF(SAISIE!X141="","",SAISIE!X141))</f>
        <v/>
      </c>
      <c r="P27" s="111" t="str">
        <f>IF(SAISIE!$N$13&lt;&gt;"ok","",IF(SAISIE!AB141="","",SAISIE!AB141))</f>
        <v/>
      </c>
      <c r="Q27" s="112" t="str">
        <f>IF(SAISIE!$N$13&lt;&gt;"ok","",IF(SAISIE!AF141="","",SAISIE!AF141))</f>
        <v/>
      </c>
      <c r="T27" s="693" t="str">
        <f t="shared" si="0"/>
        <v>Entretien-réparation</v>
      </c>
      <c r="U27" s="694"/>
      <c r="V27" s="694"/>
      <c r="W27" s="695"/>
      <c r="X27" s="121" t="str">
        <f t="shared" si="1"/>
        <v/>
      </c>
      <c r="Y27" s="138" t="str">
        <f t="shared" si="2"/>
        <v/>
      </c>
      <c r="Z27" s="166" t="str">
        <f t="shared" si="3"/>
        <v/>
      </c>
      <c r="AB27" s="195" t="str">
        <f t="shared" si="4"/>
        <v/>
      </c>
      <c r="AC27" s="197" t="str">
        <f t="shared" si="5"/>
        <v/>
      </c>
      <c r="AD27" s="200" t="str">
        <f t="shared" si="6"/>
        <v/>
      </c>
    </row>
    <row r="28" spans="1:30" ht="15" customHeight="1" x14ac:dyDescent="0.25">
      <c r="A28" s="693" t="str">
        <f>SAISIE!C142</f>
        <v>Travaux par tiers</v>
      </c>
      <c r="B28" s="694"/>
      <c r="C28" s="694"/>
      <c r="D28" s="695"/>
      <c r="E28" s="121" t="str">
        <f>IF(SAISIE!$N$13&lt;&gt;"ok","",IF(SAISIE!S142="","",SAISIE!S142))</f>
        <v/>
      </c>
      <c r="F28" s="138" t="str">
        <f>IF(SAISIE!$N$13&lt;&gt;"ok","",IF(SAISIE!T142="","",SAISIE!T142))</f>
        <v/>
      </c>
      <c r="G28" s="166" t="str">
        <f>IF(SAISIE!$N$13&lt;&gt;"ok","",IF(SAISIE!U142="","",SAISIE!U142))</f>
        <v/>
      </c>
      <c r="I28" s="98" t="str">
        <f>IF(SAISIE!$N$13&lt;&gt;"ok","",IF(SAISIE!V142="","",SAISIE!V142))</f>
        <v/>
      </c>
      <c r="J28" s="99" t="str">
        <f>IF(SAISIE!$N$13&lt;&gt;"ok","",IF(SAISIE!Z142="","",SAISIE!Z142))</f>
        <v/>
      </c>
      <c r="K28" s="100" t="str">
        <f>IF(SAISIE!$N$13&lt;&gt;"ok","",IF(SAISIE!AD142="","",SAISIE!AD142))</f>
        <v/>
      </c>
      <c r="L28" s="86" t="str">
        <f>IF(SAISIE!$N$13&lt;&gt;"ok","",IF(SAISIE!W142="","",SAISIE!W142))</f>
        <v/>
      </c>
      <c r="M28" s="87" t="str">
        <f>IF(SAISIE!$N$13&lt;&gt;"ok","",IF(SAISIE!AA142="","",SAISIE!AA142))</f>
        <v/>
      </c>
      <c r="N28" s="88" t="str">
        <f>IF(SAISIE!$N$13&lt;&gt;"ok","",IF(SAISIE!AE142="","",SAISIE!AE142))</f>
        <v/>
      </c>
      <c r="O28" s="110" t="str">
        <f>IF(SAISIE!$N$13&lt;&gt;"ok","",IF(SAISIE!X142="","",SAISIE!X142))</f>
        <v/>
      </c>
      <c r="P28" s="111" t="str">
        <f>IF(SAISIE!$N$13&lt;&gt;"ok","",IF(SAISIE!AB142="","",SAISIE!AB142))</f>
        <v/>
      </c>
      <c r="Q28" s="112" t="str">
        <f>IF(SAISIE!$N$13&lt;&gt;"ok","",IF(SAISIE!AF142="","",SAISIE!AF142))</f>
        <v/>
      </c>
      <c r="T28" s="693" t="str">
        <f t="shared" si="0"/>
        <v>Travaux par tiers</v>
      </c>
      <c r="U28" s="694"/>
      <c r="V28" s="694"/>
      <c r="W28" s="695"/>
      <c r="X28" s="121" t="str">
        <f t="shared" si="1"/>
        <v/>
      </c>
      <c r="Y28" s="138" t="str">
        <f t="shared" si="2"/>
        <v/>
      </c>
      <c r="Z28" s="166" t="str">
        <f t="shared" si="3"/>
        <v/>
      </c>
      <c r="AB28" s="195" t="str">
        <f t="shared" si="4"/>
        <v/>
      </c>
      <c r="AC28" s="197" t="str">
        <f t="shared" si="5"/>
        <v/>
      </c>
      <c r="AD28" s="200" t="str">
        <f t="shared" si="6"/>
        <v/>
      </c>
    </row>
    <row r="29" spans="1:30" ht="15" customHeight="1" x14ac:dyDescent="0.25">
      <c r="A29" s="693" t="str">
        <f>SAISIE!C143</f>
        <v>Autres charges (1)</v>
      </c>
      <c r="B29" s="694"/>
      <c r="C29" s="694"/>
      <c r="D29" s="695"/>
      <c r="E29" s="123" t="str">
        <f>IF(SAISIE!$N$13&lt;&gt;"ok","",IF(SAISIE!S143="","",SAISIE!S143))</f>
        <v/>
      </c>
      <c r="F29" s="139" t="str">
        <f>IF(SAISIE!$N$13&lt;&gt;"ok","",IF(SAISIE!T143="","",SAISIE!T143))</f>
        <v/>
      </c>
      <c r="G29" s="167" t="str">
        <f>IF(SAISIE!$N$13&lt;&gt;"ok","",IF(SAISIE!U143="","",SAISIE!U143))</f>
        <v/>
      </c>
      <c r="I29" s="129" t="str">
        <f>IF(SAISIE!$N$13&lt;&gt;"ok","",IF(SAISIE!V143="","",SAISIE!V143))</f>
        <v/>
      </c>
      <c r="J29" s="130" t="str">
        <f>IF(SAISIE!$N$13&lt;&gt;"ok","",IF(SAISIE!Z143="","",SAISIE!Z143))</f>
        <v/>
      </c>
      <c r="K29" s="131" t="str">
        <f>IF(SAISIE!$N$13&lt;&gt;"ok","",IF(SAISIE!AD143="","",SAISIE!AD143))</f>
        <v/>
      </c>
      <c r="L29" s="145" t="str">
        <f>IF(SAISIE!$N$13&lt;&gt;"ok","",IF(SAISIE!W143="","",SAISIE!W143))</f>
        <v/>
      </c>
      <c r="M29" s="146" t="str">
        <f>IF(SAISIE!$N$13&lt;&gt;"ok","",IF(SAISIE!AA143="","",SAISIE!AA143))</f>
        <v/>
      </c>
      <c r="N29" s="147" t="str">
        <f>IF(SAISIE!$N$13&lt;&gt;"ok","",IF(SAISIE!AE143="","",SAISIE!AE143))</f>
        <v/>
      </c>
      <c r="O29" s="157" t="str">
        <f>IF(SAISIE!$N$13&lt;&gt;"ok","",IF(SAISIE!X143="","",SAISIE!X143))</f>
        <v/>
      </c>
      <c r="P29" s="158" t="str">
        <f>IF(SAISIE!$N$13&lt;&gt;"ok","",IF(SAISIE!AB143="","",SAISIE!AB143))</f>
        <v/>
      </c>
      <c r="Q29" s="159" t="str">
        <f>IF(SAISIE!$N$13&lt;&gt;"ok","",IF(SAISIE!AF143="","",SAISIE!AF143))</f>
        <v/>
      </c>
      <c r="T29" s="693" t="str">
        <f t="shared" si="0"/>
        <v>Autres charges (1)</v>
      </c>
      <c r="U29" s="694"/>
      <c r="V29" s="694"/>
      <c r="W29" s="695"/>
      <c r="X29" s="123" t="str">
        <f t="shared" si="1"/>
        <v/>
      </c>
      <c r="Y29" s="139" t="str">
        <f t="shared" si="2"/>
        <v/>
      </c>
      <c r="Z29" s="167" t="str">
        <f t="shared" si="3"/>
        <v/>
      </c>
      <c r="AB29" s="203" t="str">
        <f t="shared" si="4"/>
        <v/>
      </c>
      <c r="AC29" s="139" t="str">
        <f t="shared" si="5"/>
        <v/>
      </c>
      <c r="AD29" s="167" t="str">
        <f t="shared" si="6"/>
        <v/>
      </c>
    </row>
    <row r="30" spans="1:30" ht="15" customHeight="1" thickBot="1" x14ac:dyDescent="0.3">
      <c r="A30" s="708" t="str">
        <f>SAISIE!C144</f>
        <v>Rémunération de la MO familiale</v>
      </c>
      <c r="B30" s="709"/>
      <c r="C30" s="709"/>
      <c r="D30" s="710"/>
      <c r="E30" s="124" t="str">
        <f>IF(SAISIE!$N$13&lt;&gt;"ok","",IF(SAISIE!S144="","",SAISIE!S144))</f>
        <v/>
      </c>
      <c r="F30" s="140" t="str">
        <f>IF(SAISIE!$N$13&lt;&gt;"ok","",IF(SAISIE!T144="","",SAISIE!T144))</f>
        <v/>
      </c>
      <c r="G30" s="168" t="str">
        <f>IF(SAISIE!$N$13&lt;&gt;"ok","",IF(SAISIE!U144="","",SAISIE!U144))</f>
        <v/>
      </c>
      <c r="I30" s="132" t="str">
        <f>IF(SAISIE!$N$13&lt;&gt;"ok","",IF(SAISIE!V144="","",SAISIE!V144))</f>
        <v/>
      </c>
      <c r="J30" s="133" t="str">
        <f>IF(SAISIE!$N$13&lt;&gt;"ok","",IF(SAISIE!Z144="","",SAISIE!Z144))</f>
        <v/>
      </c>
      <c r="K30" s="134" t="str">
        <f>IF(SAISIE!$N$13&lt;&gt;"ok","",IF(SAISIE!AD144="","",SAISIE!AD144))</f>
        <v/>
      </c>
      <c r="L30" s="148" t="str">
        <f>IF(SAISIE!$N$13&lt;&gt;"ok","",IF(SAISIE!W144="","",SAISIE!W144))</f>
        <v/>
      </c>
      <c r="M30" s="149" t="str">
        <f>IF(SAISIE!$N$13&lt;&gt;"ok","",IF(SAISIE!AA144="","",SAISIE!AA144))</f>
        <v/>
      </c>
      <c r="N30" s="150" t="str">
        <f>IF(SAISIE!$N$13&lt;&gt;"ok","",IF(SAISIE!AE144="","",SAISIE!AE144))</f>
        <v/>
      </c>
      <c r="O30" s="160" t="str">
        <f>IF(SAISIE!$N$13&lt;&gt;"ok","",IF(SAISIE!X144="","",SAISIE!X144))</f>
        <v/>
      </c>
      <c r="P30" s="161" t="str">
        <f>IF(SAISIE!$N$13&lt;&gt;"ok","",IF(SAISIE!AB144="","",SAISIE!AB144))</f>
        <v/>
      </c>
      <c r="Q30" s="162" t="str">
        <f>IF(SAISIE!$N$13&lt;&gt;"ok","",IF(SAISIE!AF144="","",SAISIE!AF144))</f>
        <v/>
      </c>
      <c r="T30" s="708" t="str">
        <f t="shared" si="0"/>
        <v>Rémunération de la MO familiale</v>
      </c>
      <c r="U30" s="709"/>
      <c r="V30" s="709"/>
      <c r="W30" s="710"/>
      <c r="X30" s="124" t="str">
        <f t="shared" si="1"/>
        <v/>
      </c>
      <c r="Y30" s="140" t="str">
        <f t="shared" si="2"/>
        <v/>
      </c>
      <c r="Z30" s="168" t="str">
        <f t="shared" si="3"/>
        <v/>
      </c>
      <c r="AB30" s="132" t="str">
        <f t="shared" si="4"/>
        <v/>
      </c>
      <c r="AC30" s="140" t="str">
        <f t="shared" si="5"/>
        <v/>
      </c>
      <c r="AD30" s="168" t="str">
        <f t="shared" si="6"/>
        <v/>
      </c>
    </row>
    <row r="31" spans="1:30" ht="15.75" customHeight="1" thickTop="1" x14ac:dyDescent="0.25">
      <c r="A31" s="690" t="str">
        <f>SAISIE!C156</f>
        <v>Total des charges</v>
      </c>
      <c r="B31" s="691"/>
      <c r="C31" s="691"/>
      <c r="D31" s="692"/>
      <c r="E31" s="121" t="str">
        <f>IF(SAISIE!$N$13&lt;&gt;"ok","",IF(SAISIE!S156="","",SAISIE!S156))</f>
        <v/>
      </c>
      <c r="F31" s="138" t="str">
        <f>IF(SAISIE!$N$13&lt;&gt;"ok","",IF(SAISIE!T156="","",SAISIE!T156))</f>
        <v/>
      </c>
      <c r="G31" s="166" t="str">
        <f>IF(SAISIE!$N$13&lt;&gt;"ok","",IF(SAISIE!U156="","",SAISIE!U156))</f>
        <v/>
      </c>
      <c r="I31" s="126" t="str">
        <f>IF(SAISIE!$N$13&lt;&gt;"ok","",IF(SAISIE!V156="","",SAISIE!V156))</f>
        <v/>
      </c>
      <c r="J31" s="127" t="str">
        <f>IF(SAISIE!$N$13&lt;&gt;"ok","",IF(SAISIE!Z156="","",SAISIE!Z156))</f>
        <v/>
      </c>
      <c r="K31" s="128" t="str">
        <f>IF(SAISIE!$N$13&lt;&gt;"ok","",IF(SAISIE!AD156="","",SAISIE!AD156))</f>
        <v/>
      </c>
      <c r="L31" s="142" t="str">
        <f>IF(SAISIE!$N$13&lt;&gt;"ok","",IF(SAISIE!W156="","",SAISIE!W156))</f>
        <v/>
      </c>
      <c r="M31" s="143" t="str">
        <f>IF(SAISIE!$N$13&lt;&gt;"ok","",IF(SAISIE!AA156="","",SAISIE!AA156))</f>
        <v/>
      </c>
      <c r="N31" s="144" t="str">
        <f>IF(SAISIE!$N$13&lt;&gt;"ok","",IF(SAISIE!AE156="","",SAISIE!AE156))</f>
        <v/>
      </c>
      <c r="O31" s="154" t="str">
        <f>IF(SAISIE!$N$13&lt;&gt;"ok","",IF(SAISIE!X156="","",SAISIE!X156))</f>
        <v/>
      </c>
      <c r="P31" s="155" t="str">
        <f>IF(SAISIE!$N$13&lt;&gt;"ok","",IF(SAISIE!AB156="","",SAISIE!AB156))</f>
        <v/>
      </c>
      <c r="Q31" s="156" t="str">
        <f>IF(SAISIE!$N$13&lt;&gt;"ok","",IF(SAISIE!AF156="","",SAISIE!AF156))</f>
        <v/>
      </c>
      <c r="T31" s="690" t="str">
        <f t="shared" si="0"/>
        <v>Total des charges</v>
      </c>
      <c r="U31" s="691"/>
      <c r="V31" s="691"/>
      <c r="W31" s="692"/>
      <c r="X31" s="121" t="str">
        <f t="shared" si="1"/>
        <v/>
      </c>
      <c r="Y31" s="138" t="str">
        <f t="shared" si="2"/>
        <v/>
      </c>
      <c r="Z31" s="166" t="str">
        <f t="shared" si="3"/>
        <v/>
      </c>
      <c r="AB31" s="195" t="str">
        <f t="shared" si="4"/>
        <v/>
      </c>
      <c r="AC31" s="197" t="str">
        <f t="shared" si="5"/>
        <v/>
      </c>
      <c r="AD31" s="200" t="str">
        <f t="shared" si="6"/>
        <v/>
      </c>
    </row>
    <row r="32" spans="1:30" ht="15.75" customHeight="1" thickBot="1" x14ac:dyDescent="0.3">
      <c r="A32" s="711" t="str">
        <f>SAISIE!C157</f>
        <v>Total des charges - aides</v>
      </c>
      <c r="B32" s="712"/>
      <c r="C32" s="712"/>
      <c r="D32" s="713"/>
      <c r="E32" s="125" t="str">
        <f>IF(SAISIE!$N$13&lt;&gt;"ok","",IF(SAISIE!S157="","",SAISIE!S157))</f>
        <v/>
      </c>
      <c r="F32" s="141" t="str">
        <f>IF(SAISIE!$N$13&lt;&gt;"ok","",IF(SAISIE!T157="","",SAISIE!T157))</f>
        <v/>
      </c>
      <c r="G32" s="169" t="str">
        <f>IF(SAISIE!$N$13&lt;&gt;"ok","",IF(SAISIE!U157="","",SAISIE!U157))</f>
        <v/>
      </c>
      <c r="I32" s="135" t="str">
        <f>IF(SAISIE!$N$13&lt;&gt;"ok","",IF(SAISIE!V157="","",SAISIE!V157))</f>
        <v/>
      </c>
      <c r="J32" s="136" t="str">
        <f>IF(SAISIE!$N$13&lt;&gt;"ok","",IF(SAISIE!Z157="","",SAISIE!Z157))</f>
        <v/>
      </c>
      <c r="K32" s="137" t="str">
        <f>IF(SAISIE!$N$13&lt;&gt;"ok","",IF(SAISIE!AD157="","",SAISIE!AD157))</f>
        <v/>
      </c>
      <c r="L32" s="151" t="str">
        <f>IF(SAISIE!$N$13&lt;&gt;"ok","",IF(SAISIE!W157="","",SAISIE!W157))</f>
        <v/>
      </c>
      <c r="M32" s="152" t="str">
        <f>IF(SAISIE!$N$13&lt;&gt;"ok","",IF(SAISIE!AA157="","",SAISIE!AA157))</f>
        <v/>
      </c>
      <c r="N32" s="153" t="str">
        <f>IF(SAISIE!$N$13&lt;&gt;"ok","",IF(SAISIE!AE157="","",SAISIE!AE157))</f>
        <v/>
      </c>
      <c r="O32" s="163" t="str">
        <f>IF(SAISIE!$N$13&lt;&gt;"ok","",IF(SAISIE!X157="","",SAISIE!X157))</f>
        <v/>
      </c>
      <c r="P32" s="164" t="str">
        <f>IF(SAISIE!$N$13&lt;&gt;"ok","",IF(SAISIE!AB157="","",SAISIE!AB157))</f>
        <v/>
      </c>
      <c r="Q32" s="165" t="str">
        <f>IF(SAISIE!$N$13&lt;&gt;"ok","",IF(SAISIE!AF157="","",SAISIE!AF157))</f>
        <v/>
      </c>
      <c r="T32" s="711" t="str">
        <f t="shared" si="0"/>
        <v>Total des charges - aides</v>
      </c>
      <c r="U32" s="712"/>
      <c r="V32" s="712"/>
      <c r="W32" s="713"/>
      <c r="X32" s="125" t="str">
        <f t="shared" si="1"/>
        <v/>
      </c>
      <c r="Y32" s="141" t="str">
        <f t="shared" si="2"/>
        <v/>
      </c>
      <c r="Z32" s="169" t="str">
        <f t="shared" si="3"/>
        <v/>
      </c>
      <c r="AB32" s="196" t="str">
        <f t="shared" si="4"/>
        <v/>
      </c>
      <c r="AC32" s="198" t="str">
        <f t="shared" si="5"/>
        <v/>
      </c>
      <c r="AD32" s="201" t="str">
        <f t="shared" si="6"/>
        <v/>
      </c>
    </row>
    <row r="33" spans="1:33" ht="15.75" customHeight="1" x14ac:dyDescent="0.25">
      <c r="A33" s="634" t="s">
        <v>103</v>
      </c>
      <c r="B33" s="634"/>
      <c r="C33" s="634"/>
      <c r="D33" s="634"/>
      <c r="E33" s="634"/>
      <c r="F33" s="230" t="str">
        <f>IF(SAISIE!F161="","",IF(SAISIE!F161&gt;0,CONCATENATE("+",ROUND(SAISIE!F161*100,0),"%"),SAISIE!F161))</f>
        <v/>
      </c>
      <c r="G33" s="230" t="str">
        <f>IF(SAISIE!G161="","",IF(SAISIE!G161&gt;0,CONCATENATE("+",ROUND(SAISIE!G161*100,0),"%"),SAISIE!G161))</f>
        <v/>
      </c>
      <c r="H33" s="229"/>
      <c r="I33" s="231"/>
      <c r="J33" s="231"/>
      <c r="K33" s="229"/>
      <c r="L33" s="232" t="str">
        <f>IF(SAISIE!I161="","",IF(SAISIE!I161&gt;0,CONCATENATE("+",ROUND(SAISIE!I161*100,0),"%"),SAISIE!I161))</f>
        <v/>
      </c>
      <c r="M33" s="233"/>
      <c r="N33" s="233"/>
      <c r="O33" s="232" t="str">
        <f>IF(SAISIE!J161="","",IF(SAISIE!J161&gt;0,CONCATENATE("+",ROUND(SAISIE!J161*100,0),"%"),SAISIE!J161))</f>
        <v/>
      </c>
      <c r="P33" s="233"/>
      <c r="Q33" s="233"/>
    </row>
    <row r="34" spans="1:33" ht="15.75" customHeight="1" x14ac:dyDescent="0.25">
      <c r="B34" s="699" t="str">
        <f>CONCATENATE("(Par rapport à ",E14,")")</f>
        <v>(Par rapport à )</v>
      </c>
      <c r="C34" s="699"/>
      <c r="D34" s="699"/>
      <c r="E34" s="699"/>
      <c r="X34" s="202"/>
      <c r="AG34" s="70"/>
    </row>
    <row r="35" spans="1:33" ht="15" customHeight="1" x14ac:dyDescent="0.25">
      <c r="J35" s="1"/>
      <c r="K35" s="1"/>
      <c r="L35" s="1"/>
      <c r="O35" s="59"/>
      <c r="P35" s="59"/>
      <c r="Q35" s="59"/>
      <c r="X35" s="202"/>
      <c r="AG35" s="70"/>
    </row>
    <row r="36" spans="1:33" ht="15" customHeight="1" thickBot="1" x14ac:dyDescent="0.3">
      <c r="J36" s="1"/>
      <c r="K36" s="1"/>
      <c r="L36" s="1"/>
    </row>
    <row r="37" spans="1:33" ht="15" customHeight="1" x14ac:dyDescent="0.25">
      <c r="I37" s="631" t="str">
        <f>IF(SAISIE!V128="","",SAISIE!V128)</f>
        <v/>
      </c>
      <c r="J37" s="632"/>
      <c r="K37" s="633"/>
      <c r="L37" s="637" t="str">
        <f>IF(SAISIE!W128="","",SAISIE!W128)</f>
        <v/>
      </c>
      <c r="M37" s="638"/>
      <c r="N37" s="639"/>
      <c r="O37" s="648" t="str">
        <f>IF(SAISIE!X128="","",SAISIE!X128)</f>
        <v/>
      </c>
      <c r="P37" s="649"/>
      <c r="Q37" s="650"/>
    </row>
    <row r="38" spans="1:33" ht="15" customHeight="1" x14ac:dyDescent="0.25">
      <c r="I38" s="619" t="s">
        <v>162</v>
      </c>
      <c r="J38" s="635" t="s">
        <v>95</v>
      </c>
      <c r="K38" s="640" t="s">
        <v>96</v>
      </c>
      <c r="L38" s="619" t="s">
        <v>162</v>
      </c>
      <c r="M38" s="635" t="s">
        <v>95</v>
      </c>
      <c r="N38" s="640" t="s">
        <v>96</v>
      </c>
      <c r="O38" s="619" t="s">
        <v>162</v>
      </c>
      <c r="P38" s="635" t="s">
        <v>95</v>
      </c>
      <c r="Q38" s="640" t="s">
        <v>96</v>
      </c>
    </row>
    <row r="39" spans="1:33" ht="15" customHeight="1" thickBot="1" x14ac:dyDescent="0.3">
      <c r="I39" s="620"/>
      <c r="J39" s="636"/>
      <c r="K39" s="641"/>
      <c r="L39" s="620"/>
      <c r="M39" s="636"/>
      <c r="N39" s="641"/>
      <c r="O39" s="620"/>
      <c r="P39" s="636"/>
      <c r="Q39" s="641"/>
    </row>
    <row r="40" spans="1:33" ht="15" customHeight="1" x14ac:dyDescent="0.25">
      <c r="C40" s="700" t="s">
        <v>99</v>
      </c>
      <c r="D40" s="701"/>
      <c r="E40" s="701"/>
      <c r="F40" s="701"/>
      <c r="G40" s="701"/>
      <c r="H40" s="701"/>
      <c r="I40" s="95" t="str">
        <f>IF(SAISIE!$N$13&lt;&gt;"ok","",IF(SAISIE!V129="","",SAISIE!V129))</f>
        <v/>
      </c>
      <c r="J40" s="96" t="str">
        <f>IF(SAISIE!$N$13&lt;&gt;"ok","",IF(SAISIE!Z129="","",SAISIE!Z129))</f>
        <v/>
      </c>
      <c r="K40" s="97" t="str">
        <f>IF(SAISIE!$N$13&lt;&gt;"ok","",IF(SAISIE!AD129="","",SAISIE!AD129))</f>
        <v/>
      </c>
      <c r="L40" s="83" t="str">
        <f>IF(SAISIE!$N$13&lt;&gt;"ok","",IF(SAISIE!W129="","",SAISIE!W129))</f>
        <v/>
      </c>
      <c r="M40" s="84" t="str">
        <f>IF(SAISIE!$N$13&lt;&gt;"ok","",IF(SAISIE!AA129="","",SAISIE!AA129))</f>
        <v/>
      </c>
      <c r="N40" s="85" t="str">
        <f>IF(SAISIE!$N$13&lt;&gt;"ok","",IF(SAISIE!AE129="","",SAISIE!AE129))</f>
        <v/>
      </c>
      <c r="O40" s="107" t="str">
        <f>IF(SAISIE!$N$13&lt;&gt;"ok","",IF(SAISIE!X129="","",SAISIE!X129))</f>
        <v/>
      </c>
      <c r="P40" s="108" t="str">
        <f>IF(SAISIE!$N$13&lt;&gt;"ok","",IF(SAISIE!AB129="","",SAISIE!AB129))</f>
        <v/>
      </c>
      <c r="Q40" s="109" t="str">
        <f>IF(SAISIE!$N$13&lt;&gt;"ok","",IF(SAISIE!AF129="","",SAISIE!AF129))</f>
        <v/>
      </c>
    </row>
    <row r="41" spans="1:33" ht="30" customHeight="1" x14ac:dyDescent="0.25">
      <c r="C41" s="702" t="s">
        <v>100</v>
      </c>
      <c r="D41" s="703"/>
      <c r="E41" s="703"/>
      <c r="F41" s="703"/>
      <c r="G41" s="703"/>
      <c r="H41" s="703"/>
      <c r="I41" s="98" t="str">
        <f>IF(SAISIE!$N$13&lt;&gt;"ok","",IF(SAISIE!V130="","",SAISIE!V130))</f>
        <v/>
      </c>
      <c r="J41" s="99" t="str">
        <f>IF(SAISIE!$N$13&lt;&gt;"ok","",IF(SAISIE!Z130="","",SAISIE!Z130))</f>
        <v/>
      </c>
      <c r="K41" s="100" t="str">
        <f>IF(SAISIE!$N$13&lt;&gt;"ok","",IF(SAISIE!AD130="","",SAISIE!AD130))</f>
        <v/>
      </c>
      <c r="L41" s="86" t="str">
        <f>IF(SAISIE!$N$13&lt;&gt;"ok","",IF(SAISIE!W130="","",SAISIE!W130))</f>
        <v/>
      </c>
      <c r="M41" s="87" t="str">
        <f>IF(SAISIE!$N$13&lt;&gt;"ok","",IF(SAISIE!AA130="","",SAISIE!AA130))</f>
        <v/>
      </c>
      <c r="N41" s="88" t="str">
        <f>IF(SAISIE!$N$13&lt;&gt;"ok","",IF(SAISIE!AE130="","",SAISIE!AE130))</f>
        <v/>
      </c>
      <c r="O41" s="110" t="str">
        <f>IF(SAISIE!$N$13&lt;&gt;"ok","",IF(SAISIE!X130="","",SAISIE!X130))</f>
        <v/>
      </c>
      <c r="P41" s="111" t="str">
        <f>IF(SAISIE!$N$13&lt;&gt;"ok","",IF(SAISIE!AB130="","",SAISIE!AB130))</f>
        <v/>
      </c>
      <c r="Q41" s="112" t="str">
        <f>IF(SAISIE!$N$13&lt;&gt;"ok","",IF(SAISIE!AF130="","",SAISIE!AF130))</f>
        <v/>
      </c>
    </row>
    <row r="42" spans="1:33" ht="15" customHeight="1" x14ac:dyDescent="0.25">
      <c r="C42" s="702" t="s">
        <v>151</v>
      </c>
      <c r="D42" s="703"/>
      <c r="E42" s="703"/>
      <c r="F42" s="703"/>
      <c r="G42" s="703"/>
      <c r="H42" s="703"/>
      <c r="I42" s="98" t="str">
        <f>IF(SAISIE!$N$13&lt;&gt;"ok","",IF(SAISIE!V131="","",SAISIE!V131))</f>
        <v/>
      </c>
      <c r="J42" s="99" t="str">
        <f>IF(SAISIE!$N$13&lt;&gt;"ok","",IF(SAISIE!Z131="","",SAISIE!Z131))</f>
        <v/>
      </c>
      <c r="K42" s="100" t="str">
        <f>IF(SAISIE!$N$13&lt;&gt;"ok","",IF(SAISIE!AD131="","",SAISIE!AD131))</f>
        <v/>
      </c>
      <c r="L42" s="86" t="str">
        <f>IF(SAISIE!$N$13&lt;&gt;"ok","",IF(SAISIE!W131="","",SAISIE!W131))</f>
        <v/>
      </c>
      <c r="M42" s="87" t="str">
        <f>IF(SAISIE!$N$13&lt;&gt;"ok","",IF(SAISIE!AA131="","",SAISIE!AA131))</f>
        <v/>
      </c>
      <c r="N42" s="88" t="str">
        <f>IF(SAISIE!$N$13&lt;&gt;"ok","",IF(SAISIE!AE131="","",SAISIE!AE131))</f>
        <v/>
      </c>
      <c r="O42" s="110" t="str">
        <f>IF(SAISIE!$N$13&lt;&gt;"ok","",IF(SAISIE!X131="","",SAISIE!X131))</f>
        <v/>
      </c>
      <c r="P42" s="111" t="str">
        <f>IF(SAISIE!$N$13&lt;&gt;"ok","",IF(SAISIE!AB131="","",SAISIE!AB131))</f>
        <v/>
      </c>
      <c r="Q42" s="112" t="str">
        <f>IF(SAISIE!$N$13&lt;&gt;"ok","",IF(SAISIE!AF131="","",SAISIE!AF131))</f>
        <v/>
      </c>
    </row>
    <row r="43" spans="1:33" ht="5.25" customHeight="1" x14ac:dyDescent="0.25"/>
    <row r="44" spans="1:33" ht="15" customHeight="1" x14ac:dyDescent="0.25">
      <c r="C44" s="704" t="str">
        <f>SAISIE!E199</f>
        <v>Cout de production partiel* (€/T)</v>
      </c>
      <c r="D44" s="705"/>
      <c r="E44" s="705"/>
      <c r="F44" s="705"/>
      <c r="G44" s="705"/>
      <c r="H44" s="705"/>
      <c r="I44" s="101" t="str">
        <f>IF(SAISIE!$N$13&lt;&gt;"ok","",IF(SAISIE!V156="","",SAISIE!V156))</f>
        <v/>
      </c>
      <c r="J44" s="102" t="str">
        <f>IF(SAISIE!$N$13&lt;&gt;"ok","",IF(SAISIE!Z156="","",SAISIE!Z156))</f>
        <v/>
      </c>
      <c r="K44" s="103" t="str">
        <f>IF(SAISIE!$N$13&lt;&gt;"ok","",IF(SAISIE!AD156="","",SAISIE!AD156))</f>
        <v/>
      </c>
      <c r="L44" s="89" t="str">
        <f>IF(SAISIE!$N$13&lt;&gt;"ok","",IF(SAISIE!W156="","",SAISIE!W156))</f>
        <v/>
      </c>
      <c r="M44" s="90" t="str">
        <f>IF(SAISIE!$N$13&lt;&gt;"ok","",IF(SAISIE!AA156="","",SAISIE!AA156))</f>
        <v/>
      </c>
      <c r="N44" s="91" t="str">
        <f>IF(SAISIE!$N$13&lt;&gt;"ok","",IF(SAISIE!AE156="","",SAISIE!AE156))</f>
        <v/>
      </c>
      <c r="O44" s="113" t="str">
        <f>IF(SAISIE!$N$13&lt;&gt;"ok","",IF(SAISIE!X156="","",SAISIE!X156))</f>
        <v/>
      </c>
      <c r="P44" s="114" t="str">
        <f>IF(SAISIE!$N$13&lt;&gt;"ok","",IF(SAISIE!AB156="","",SAISIE!AB156))</f>
        <v/>
      </c>
      <c r="Q44" s="115" t="str">
        <f>IF(SAISIE!$N$13&lt;&gt;"ok","",IF(SAISIE!AF156="","",SAISIE!AF156))</f>
        <v/>
      </c>
    </row>
    <row r="45" spans="1:33" ht="15" customHeight="1" x14ac:dyDescent="0.25">
      <c r="C45" s="704" t="str">
        <f>SAISIE!E200</f>
        <v>Seuil de commercialisation partiel* (€/T)</v>
      </c>
      <c r="D45" s="705"/>
      <c r="E45" s="705"/>
      <c r="F45" s="705"/>
      <c r="G45" s="705"/>
      <c r="H45" s="705"/>
      <c r="I45" s="101" t="str">
        <f>IF(SAISIE!$N$13&lt;&gt;"ok","",IF(SAISIE!V157="","",SAISIE!V157))</f>
        <v/>
      </c>
      <c r="J45" s="102" t="str">
        <f>IF(SAISIE!$N$13&lt;&gt;"ok","",IF(SAISIE!Z157="","",SAISIE!Z157))</f>
        <v/>
      </c>
      <c r="K45" s="103" t="str">
        <f>IF(SAISIE!$N$13&lt;&gt;"ok","",IF(SAISIE!AD157="","",SAISIE!AD157))</f>
        <v/>
      </c>
      <c r="L45" s="89" t="str">
        <f>IF(SAISIE!$N$13&lt;&gt;"ok","",IF(SAISIE!W157="","",SAISIE!W157))</f>
        <v/>
      </c>
      <c r="M45" s="90" t="str">
        <f>IF(SAISIE!$N$13&lt;&gt;"ok","",IF(SAISIE!AA157="","",SAISIE!AA157))</f>
        <v/>
      </c>
      <c r="N45" s="91" t="str">
        <f>IF(SAISIE!$N$13&lt;&gt;"ok","",IF(SAISIE!AE157="","",SAISIE!AE157))</f>
        <v/>
      </c>
      <c r="O45" s="113" t="str">
        <f>IF(SAISIE!$N$13&lt;&gt;"ok","",IF(SAISIE!X157="","",SAISIE!X157))</f>
        <v/>
      </c>
      <c r="P45" s="114" t="str">
        <f>IF(SAISIE!$N$13&lt;&gt;"ok","",IF(SAISIE!AB157="","",SAISIE!AB157))</f>
        <v/>
      </c>
      <c r="Q45" s="115" t="str">
        <f>IF(SAISIE!$N$13&lt;&gt;"ok","",IF(SAISIE!AF157="","",SAISIE!AF157))</f>
        <v/>
      </c>
    </row>
    <row r="46" spans="1:33" ht="5.25" customHeight="1" x14ac:dyDescent="0.25"/>
    <row r="47" spans="1:33" ht="15" customHeight="1" thickBot="1" x14ac:dyDescent="0.3">
      <c r="C47" s="706" t="s">
        <v>94</v>
      </c>
      <c r="D47" s="707"/>
      <c r="E47" s="707"/>
      <c r="F47" s="707"/>
      <c r="G47" s="707"/>
      <c r="H47" s="707"/>
      <c r="I47" s="104" t="str">
        <f>IF(SAISIE!$N$13&lt;&gt;"ok","",IF(SAISIE!V158="","",SAISIE!V158))</f>
        <v/>
      </c>
      <c r="J47" s="105" t="str">
        <f>IF(SAISIE!$N$13&lt;&gt;"ok","",IF(SAISIE!Z158="","",SAISIE!Z158))</f>
        <v/>
      </c>
      <c r="K47" s="106" t="str">
        <f>IF(SAISIE!$N$13&lt;&gt;"ok","",IF(SAISIE!AD158="","",SAISIE!AD158))</f>
        <v/>
      </c>
      <c r="L47" s="92" t="str">
        <f>IF(SAISIE!$N$13&lt;&gt;"ok","",IF(SAISIE!W158="","",SAISIE!W158))</f>
        <v/>
      </c>
      <c r="M47" s="93" t="str">
        <f>IF(SAISIE!$N$13&lt;&gt;"ok","",IF(SAISIE!AA158="","",SAISIE!AA158))</f>
        <v/>
      </c>
      <c r="N47" s="94" t="str">
        <f>IF(SAISIE!$N$13&lt;&gt;"ok","",IF(SAISIE!AE158="","",SAISIE!AE158))</f>
        <v/>
      </c>
      <c r="O47" s="116" t="str">
        <f>IF(SAISIE!$N$13&lt;&gt;"ok","",IF(SAISIE!X158="","",SAISIE!X158))</f>
        <v/>
      </c>
      <c r="P47" s="117" t="str">
        <f>IF(SAISIE!$N$13&lt;&gt;"ok","",IF(SAISIE!AB158="","",SAISIE!AB158))</f>
        <v/>
      </c>
      <c r="Q47" s="118" t="str">
        <f>IF(SAISIE!$N$13&lt;&gt;"ok","",IF(SAISIE!AF158="","",SAISIE!AF158))</f>
        <v/>
      </c>
    </row>
    <row r="48" spans="1:33" ht="15" customHeight="1" x14ac:dyDescent="0.25">
      <c r="E48" s="626" t="s">
        <v>104</v>
      </c>
      <c r="F48" s="626"/>
      <c r="G48" s="626"/>
      <c r="H48" s="626"/>
      <c r="I48" s="626"/>
      <c r="J48" s="626"/>
      <c r="K48" s="626"/>
      <c r="L48" s="232" t="str">
        <f>IF(SAISIE!I164="","",IF(SAISIE!I164&gt;0,CONCATENATE("+",ROUND(SAISIE!I164*100,0),"%"),SAISIE!I164))</f>
        <v/>
      </c>
      <c r="M48" s="233"/>
      <c r="N48" s="233"/>
      <c r="O48" s="232" t="str">
        <f>IF(SAISIE!J164="","",IF(SAISIE!J164&gt;0,CONCATENATE("+",ROUND(SAISIE!J164*100,0),"%"),SAISIE!J164))</f>
        <v/>
      </c>
      <c r="P48" s="233"/>
      <c r="Q48" s="233"/>
    </row>
    <row r="49" spans="5:36" ht="18.75" customHeight="1" x14ac:dyDescent="0.25">
      <c r="E49" s="699" t="str">
        <f>CONCATENATE("(Par rapport à ",I37,")")</f>
        <v>(Par rapport à )</v>
      </c>
      <c r="F49" s="699"/>
      <c r="G49" s="699"/>
      <c r="H49" s="699"/>
      <c r="I49" s="699"/>
      <c r="J49" s="699"/>
      <c r="K49" s="699"/>
      <c r="L49" s="67"/>
      <c r="M49" s="82"/>
      <c r="N49" s="82"/>
      <c r="O49" s="67"/>
      <c r="P49" s="82"/>
      <c r="Q49" s="82"/>
    </row>
    <row r="50" spans="5:36" ht="15" customHeight="1" x14ac:dyDescent="0.25"/>
    <row r="51" spans="5:36" ht="15" customHeight="1" x14ac:dyDescent="0.25"/>
    <row r="52" spans="5:36" ht="15" customHeight="1" x14ac:dyDescent="0.25"/>
    <row r="58" spans="5:36" ht="18.75" customHeight="1" x14ac:dyDescent="0.25">
      <c r="Y58" s="69"/>
    </row>
    <row r="59" spans="5:36" ht="15" customHeight="1" x14ac:dyDescent="0.25"/>
    <row r="61" spans="5:36" x14ac:dyDescent="0.25">
      <c r="AA61" s="60"/>
      <c r="AB61" s="60"/>
      <c r="AC61" s="60"/>
      <c r="AD61" s="60"/>
      <c r="AE61" s="60"/>
      <c r="AF61" s="60"/>
      <c r="AG61" s="60"/>
      <c r="AH61" s="60"/>
      <c r="AI61" s="60"/>
      <c r="AJ61" s="60"/>
    </row>
  </sheetData>
  <sheetProtection algorithmName="SHA-512" hashValue="bxWS8u8ANLm7URxd35dhSX/LRUcRTn0ijhwP0USn1ezr0FudgXyiipDjXoFrKXxRDcTXOiuX4mdiIbRtnRooSQ==" saltValue="Pnu79QaeTnLlKvG2PZ0hbw==" spinCount="100000" sheet="1" objects="1" scenarios="1" selectLockedCells="1" selectUnlockedCells="1"/>
  <mergeCells count="84">
    <mergeCell ref="E49:K49"/>
    <mergeCell ref="AB14:AB16"/>
    <mergeCell ref="T31:W31"/>
    <mergeCell ref="T32:W32"/>
    <mergeCell ref="T25:W25"/>
    <mergeCell ref="T26:W26"/>
    <mergeCell ref="T27:W27"/>
    <mergeCell ref="T28:W28"/>
    <mergeCell ref="T29:W29"/>
    <mergeCell ref="T30:W30"/>
    <mergeCell ref="T19:W19"/>
    <mergeCell ref="T20:W20"/>
    <mergeCell ref="T21:W21"/>
    <mergeCell ref="J38:J39"/>
    <mergeCell ref="K38:K39"/>
    <mergeCell ref="T17:W17"/>
    <mergeCell ref="X13:Z13"/>
    <mergeCell ref="AB13:AD13"/>
    <mergeCell ref="T14:W15"/>
    <mergeCell ref="X14:X16"/>
    <mergeCell ref="Z14:Z16"/>
    <mergeCell ref="Y14:Y16"/>
    <mergeCell ref="AC14:AC16"/>
    <mergeCell ref="AD14:AD16"/>
    <mergeCell ref="T18:W18"/>
    <mergeCell ref="O38:O39"/>
    <mergeCell ref="P38:P39"/>
    <mergeCell ref="C47:H47"/>
    <mergeCell ref="A23:D23"/>
    <mergeCell ref="A24:D24"/>
    <mergeCell ref="A25:D25"/>
    <mergeCell ref="A26:D26"/>
    <mergeCell ref="A27:D27"/>
    <mergeCell ref="A28:D28"/>
    <mergeCell ref="A29:D29"/>
    <mergeCell ref="A30:D30"/>
    <mergeCell ref="A31:D31"/>
    <mergeCell ref="A32:D32"/>
    <mergeCell ref="L38:L39"/>
    <mergeCell ref="M38:M39"/>
    <mergeCell ref="E48:K48"/>
    <mergeCell ref="T22:W22"/>
    <mergeCell ref="T23:W23"/>
    <mergeCell ref="T24:W24"/>
    <mergeCell ref="C40:H40"/>
    <mergeCell ref="C41:H41"/>
    <mergeCell ref="C42:H42"/>
    <mergeCell ref="C44:H44"/>
    <mergeCell ref="C45:H45"/>
    <mergeCell ref="I37:K37"/>
    <mergeCell ref="L37:N37"/>
    <mergeCell ref="O37:Q37"/>
    <mergeCell ref="I38:I39"/>
    <mergeCell ref="Q38:Q39"/>
    <mergeCell ref="A33:E33"/>
    <mergeCell ref="A22:D22"/>
    <mergeCell ref="N38:N39"/>
    <mergeCell ref="A17:D17"/>
    <mergeCell ref="A18:D18"/>
    <mergeCell ref="A19:D19"/>
    <mergeCell ref="A20:D20"/>
    <mergeCell ref="A21:D21"/>
    <mergeCell ref="B34:E34"/>
    <mergeCell ref="L14:N14"/>
    <mergeCell ref="O14:Q14"/>
    <mergeCell ref="N15:N16"/>
    <mergeCell ref="O15:O16"/>
    <mergeCell ref="P15:P16"/>
    <mergeCell ref="I1:O10"/>
    <mergeCell ref="A12:Q12"/>
    <mergeCell ref="E13:G13"/>
    <mergeCell ref="I13:Q13"/>
    <mergeCell ref="A14:D15"/>
    <mergeCell ref="E14:E16"/>
    <mergeCell ref="F14:F16"/>
    <mergeCell ref="G14:G16"/>
    <mergeCell ref="I14:K14"/>
    <mergeCell ref="I15:I16"/>
    <mergeCell ref="J15:J16"/>
    <mergeCell ref="K15:K16"/>
    <mergeCell ref="L15:L16"/>
    <mergeCell ref="M15:M16"/>
    <mergeCell ref="A11:AB11"/>
    <mergeCell ref="Q15:Q16"/>
  </mergeCells>
  <conditionalFormatting sqref="I29:K32 I17:K17 L17:Q32 I40:K42">
    <cfRule type="cellIs" dxfId="221" priority="241" operator="equal">
      <formula>0</formula>
    </cfRule>
    <cfRule type="cellIs" dxfId="220" priority="242" operator="between">
      <formula>-1</formula>
      <formula>1</formula>
    </cfRule>
  </conditionalFormatting>
  <conditionalFormatting sqref="K23">
    <cfRule type="cellIs" dxfId="219" priority="239" operator="equal">
      <formula>0</formula>
    </cfRule>
    <cfRule type="cellIs" dxfId="218" priority="240" operator="between">
      <formula>-1</formula>
      <formula>1</formula>
    </cfRule>
  </conditionalFormatting>
  <conditionalFormatting sqref="K24">
    <cfRule type="cellIs" dxfId="217" priority="237" operator="equal">
      <formula>0</formula>
    </cfRule>
    <cfRule type="cellIs" dxfId="216" priority="238" operator="between">
      <formula>-1</formula>
      <formula>1</formula>
    </cfRule>
  </conditionalFormatting>
  <conditionalFormatting sqref="K26">
    <cfRule type="cellIs" dxfId="215" priority="233" operator="equal">
      <formula>0</formula>
    </cfRule>
    <cfRule type="cellIs" dxfId="214" priority="234" operator="between">
      <formula>-1</formula>
      <formula>1</formula>
    </cfRule>
  </conditionalFormatting>
  <conditionalFormatting sqref="K27">
    <cfRule type="cellIs" dxfId="213" priority="231" operator="equal">
      <formula>0</formula>
    </cfRule>
    <cfRule type="cellIs" dxfId="212" priority="232" operator="between">
      <formula>-1</formula>
      <formula>1</formula>
    </cfRule>
  </conditionalFormatting>
  <conditionalFormatting sqref="E29:G32">
    <cfRule type="cellIs" dxfId="211" priority="341" operator="equal">
      <formula>0</formula>
    </cfRule>
    <cfRule type="cellIs" dxfId="210" priority="342" operator="between">
      <formula>-1</formula>
      <formula>1</formula>
    </cfRule>
  </conditionalFormatting>
  <conditionalFormatting sqref="F18:G18">
    <cfRule type="cellIs" dxfId="209" priority="339" operator="equal">
      <formula>0</formula>
    </cfRule>
    <cfRule type="cellIs" dxfId="208" priority="340" operator="between">
      <formula>-1</formula>
      <formula>1</formula>
    </cfRule>
  </conditionalFormatting>
  <conditionalFormatting sqref="E18">
    <cfRule type="cellIs" dxfId="207" priority="337" operator="equal">
      <formula>0</formula>
    </cfRule>
    <cfRule type="cellIs" dxfId="206" priority="338" operator="between">
      <formula>-1</formula>
      <formula>1</formula>
    </cfRule>
  </conditionalFormatting>
  <conditionalFormatting sqref="F19:G19">
    <cfRule type="cellIs" dxfId="205" priority="335" operator="equal">
      <formula>0</formula>
    </cfRule>
    <cfRule type="cellIs" dxfId="204" priority="336" operator="between">
      <formula>-1</formula>
      <formula>1</formula>
    </cfRule>
  </conditionalFormatting>
  <conditionalFormatting sqref="E19">
    <cfRule type="cellIs" dxfId="203" priority="333" operator="equal">
      <formula>0</formula>
    </cfRule>
    <cfRule type="cellIs" dxfId="202" priority="334" operator="between">
      <formula>-1</formula>
      <formula>1</formula>
    </cfRule>
  </conditionalFormatting>
  <conditionalFormatting sqref="F20:G20">
    <cfRule type="cellIs" dxfId="201" priority="331" operator="equal">
      <formula>0</formula>
    </cfRule>
    <cfRule type="cellIs" dxfId="200" priority="332" operator="between">
      <formula>-1</formula>
      <formula>1</formula>
    </cfRule>
  </conditionalFormatting>
  <conditionalFormatting sqref="E20">
    <cfRule type="cellIs" dxfId="199" priority="329" operator="equal">
      <formula>0</formula>
    </cfRule>
    <cfRule type="cellIs" dxfId="198" priority="330" operator="between">
      <formula>-1</formula>
      <formula>1</formula>
    </cfRule>
  </conditionalFormatting>
  <conditionalFormatting sqref="F21:G21">
    <cfRule type="cellIs" dxfId="197" priority="327" operator="equal">
      <formula>0</formula>
    </cfRule>
    <cfRule type="cellIs" dxfId="196" priority="328" operator="between">
      <formula>-1</formula>
      <formula>1</formula>
    </cfRule>
  </conditionalFormatting>
  <conditionalFormatting sqref="E21">
    <cfRule type="cellIs" dxfId="195" priority="325" operator="equal">
      <formula>0</formula>
    </cfRule>
    <cfRule type="cellIs" dxfId="194" priority="326" operator="between">
      <formula>-1</formula>
      <formula>1</formula>
    </cfRule>
  </conditionalFormatting>
  <conditionalFormatting sqref="F22:G22">
    <cfRule type="cellIs" dxfId="193" priority="323" operator="equal">
      <formula>0</formula>
    </cfRule>
    <cfRule type="cellIs" dxfId="192" priority="324" operator="between">
      <formula>-1</formula>
      <formula>1</formula>
    </cfRule>
  </conditionalFormatting>
  <conditionalFormatting sqref="E22">
    <cfRule type="cellIs" dxfId="191" priority="321" operator="equal">
      <formula>0</formula>
    </cfRule>
    <cfRule type="cellIs" dxfId="190" priority="322" operator="between">
      <formula>-1</formula>
      <formula>1</formula>
    </cfRule>
  </conditionalFormatting>
  <conditionalFormatting sqref="F23:G23">
    <cfRule type="cellIs" dxfId="189" priority="319" operator="equal">
      <formula>0</formula>
    </cfRule>
    <cfRule type="cellIs" dxfId="188" priority="320" operator="between">
      <formula>-1</formula>
      <formula>1</formula>
    </cfRule>
  </conditionalFormatting>
  <conditionalFormatting sqref="E23">
    <cfRule type="cellIs" dxfId="187" priority="317" operator="equal">
      <formula>0</formula>
    </cfRule>
    <cfRule type="cellIs" dxfId="186" priority="318" operator="between">
      <formula>-1</formula>
      <formula>1</formula>
    </cfRule>
  </conditionalFormatting>
  <conditionalFormatting sqref="F24:G24">
    <cfRule type="cellIs" dxfId="185" priority="315" operator="equal">
      <formula>0</formula>
    </cfRule>
    <cfRule type="cellIs" dxfId="184" priority="316" operator="between">
      <formula>-1</formula>
      <formula>1</formula>
    </cfRule>
  </conditionalFormatting>
  <conditionalFormatting sqref="E24">
    <cfRule type="cellIs" dxfId="183" priority="313" operator="equal">
      <formula>0</formula>
    </cfRule>
    <cfRule type="cellIs" dxfId="182" priority="314" operator="between">
      <formula>-1</formula>
      <formula>1</formula>
    </cfRule>
  </conditionalFormatting>
  <conditionalFormatting sqref="F25:G25">
    <cfRule type="cellIs" dxfId="181" priority="311" operator="equal">
      <formula>0</formula>
    </cfRule>
    <cfRule type="cellIs" dxfId="180" priority="312" operator="between">
      <formula>-1</formula>
      <formula>1</formula>
    </cfRule>
  </conditionalFormatting>
  <conditionalFormatting sqref="E25">
    <cfRule type="cellIs" dxfId="179" priority="309" operator="equal">
      <formula>0</formula>
    </cfRule>
    <cfRule type="cellIs" dxfId="178" priority="310" operator="between">
      <formula>-1</formula>
      <formula>1</formula>
    </cfRule>
  </conditionalFormatting>
  <conditionalFormatting sqref="F26:G26">
    <cfRule type="cellIs" dxfId="177" priority="307" operator="equal">
      <formula>0</formula>
    </cfRule>
    <cfRule type="cellIs" dxfId="176" priority="308" operator="between">
      <formula>-1</formula>
      <formula>1</formula>
    </cfRule>
  </conditionalFormatting>
  <conditionalFormatting sqref="E26">
    <cfRule type="cellIs" dxfId="175" priority="305" operator="equal">
      <formula>0</formula>
    </cfRule>
    <cfRule type="cellIs" dxfId="174" priority="306" operator="between">
      <formula>-1</formula>
      <formula>1</formula>
    </cfRule>
  </conditionalFormatting>
  <conditionalFormatting sqref="F27:G27">
    <cfRule type="cellIs" dxfId="173" priority="303" operator="equal">
      <formula>0</formula>
    </cfRule>
    <cfRule type="cellIs" dxfId="172" priority="304" operator="between">
      <formula>-1</formula>
      <formula>1</formula>
    </cfRule>
  </conditionalFormatting>
  <conditionalFormatting sqref="E27">
    <cfRule type="cellIs" dxfId="171" priority="301" operator="equal">
      <formula>0</formula>
    </cfRule>
    <cfRule type="cellIs" dxfId="170" priority="302" operator="between">
      <formula>-1</formula>
      <formula>1</formula>
    </cfRule>
  </conditionalFormatting>
  <conditionalFormatting sqref="F28:G28">
    <cfRule type="cellIs" dxfId="169" priority="299" operator="equal">
      <formula>0</formula>
    </cfRule>
    <cfRule type="cellIs" dxfId="168" priority="300" operator="between">
      <formula>-1</formula>
      <formula>1</formula>
    </cfRule>
  </conditionalFormatting>
  <conditionalFormatting sqref="E28">
    <cfRule type="cellIs" dxfId="167" priority="297" operator="equal">
      <formula>0</formula>
    </cfRule>
    <cfRule type="cellIs" dxfId="166" priority="298" operator="between">
      <formula>-1</formula>
      <formula>1</formula>
    </cfRule>
  </conditionalFormatting>
  <conditionalFormatting sqref="I18">
    <cfRule type="cellIs" dxfId="165" priority="295" operator="equal">
      <formula>0</formula>
    </cfRule>
    <cfRule type="cellIs" dxfId="164" priority="296" operator="between">
      <formula>-1</formula>
      <formula>1</formula>
    </cfRule>
  </conditionalFormatting>
  <conditionalFormatting sqref="I19">
    <cfRule type="cellIs" dxfId="163" priority="293" operator="equal">
      <formula>0</formula>
    </cfRule>
    <cfRule type="cellIs" dxfId="162" priority="294" operator="between">
      <formula>-1</formula>
      <formula>1</formula>
    </cfRule>
  </conditionalFormatting>
  <conditionalFormatting sqref="I20">
    <cfRule type="cellIs" dxfId="161" priority="291" operator="equal">
      <formula>0</formula>
    </cfRule>
    <cfRule type="cellIs" dxfId="160" priority="292" operator="between">
      <formula>-1</formula>
      <formula>1</formula>
    </cfRule>
  </conditionalFormatting>
  <conditionalFormatting sqref="I21">
    <cfRule type="cellIs" dxfId="159" priority="289" operator="equal">
      <formula>0</formula>
    </cfRule>
    <cfRule type="cellIs" dxfId="158" priority="290" operator="between">
      <formula>-1</formula>
      <formula>1</formula>
    </cfRule>
  </conditionalFormatting>
  <conditionalFormatting sqref="I22">
    <cfRule type="cellIs" dxfId="157" priority="287" operator="equal">
      <formula>0</formula>
    </cfRule>
    <cfRule type="cellIs" dxfId="156" priority="288" operator="between">
      <formula>-1</formula>
      <formula>1</formula>
    </cfRule>
  </conditionalFormatting>
  <conditionalFormatting sqref="I23">
    <cfRule type="cellIs" dxfId="155" priority="285" operator="equal">
      <formula>0</formula>
    </cfRule>
    <cfRule type="cellIs" dxfId="154" priority="286" operator="between">
      <formula>-1</formula>
      <formula>1</formula>
    </cfRule>
  </conditionalFormatting>
  <conditionalFormatting sqref="I24">
    <cfRule type="cellIs" dxfId="153" priority="283" operator="equal">
      <formula>0</formula>
    </cfRule>
    <cfRule type="cellIs" dxfId="152" priority="284" operator="between">
      <formula>-1</formula>
      <formula>1</formula>
    </cfRule>
  </conditionalFormatting>
  <conditionalFormatting sqref="I25">
    <cfRule type="cellIs" dxfId="151" priority="281" operator="equal">
      <formula>0</formula>
    </cfRule>
    <cfRule type="cellIs" dxfId="150" priority="282" operator="between">
      <formula>-1</formula>
      <formula>1</formula>
    </cfRule>
  </conditionalFormatting>
  <conditionalFormatting sqref="I26">
    <cfRule type="cellIs" dxfId="149" priority="279" operator="equal">
      <formula>0</formula>
    </cfRule>
    <cfRule type="cellIs" dxfId="148" priority="280" operator="between">
      <formula>-1</formula>
      <formula>1</formula>
    </cfRule>
  </conditionalFormatting>
  <conditionalFormatting sqref="I27">
    <cfRule type="cellIs" dxfId="147" priority="277" operator="equal">
      <formula>0</formula>
    </cfRule>
    <cfRule type="cellIs" dxfId="146" priority="278" operator="between">
      <formula>-1</formula>
      <formula>1</formula>
    </cfRule>
  </conditionalFormatting>
  <conditionalFormatting sqref="I28">
    <cfRule type="cellIs" dxfId="145" priority="275" operator="equal">
      <formula>0</formula>
    </cfRule>
    <cfRule type="cellIs" dxfId="144" priority="276" operator="between">
      <formula>-1</formula>
      <formula>1</formula>
    </cfRule>
  </conditionalFormatting>
  <conditionalFormatting sqref="J18">
    <cfRule type="cellIs" dxfId="143" priority="273" operator="equal">
      <formula>0</formula>
    </cfRule>
    <cfRule type="cellIs" dxfId="142" priority="274" operator="between">
      <formula>-1</formula>
      <formula>1</formula>
    </cfRule>
  </conditionalFormatting>
  <conditionalFormatting sqref="J19">
    <cfRule type="cellIs" dxfId="141" priority="271" operator="equal">
      <formula>0</formula>
    </cfRule>
    <cfRule type="cellIs" dxfId="140" priority="272" operator="between">
      <formula>-1</formula>
      <formula>1</formula>
    </cfRule>
  </conditionalFormatting>
  <conditionalFormatting sqref="J20">
    <cfRule type="cellIs" dxfId="139" priority="269" operator="equal">
      <formula>0</formula>
    </cfRule>
    <cfRule type="cellIs" dxfId="138" priority="270" operator="between">
      <formula>-1</formula>
      <formula>1</formula>
    </cfRule>
  </conditionalFormatting>
  <conditionalFormatting sqref="J21">
    <cfRule type="cellIs" dxfId="137" priority="267" operator="equal">
      <formula>0</formula>
    </cfRule>
    <cfRule type="cellIs" dxfId="136" priority="268" operator="between">
      <formula>-1</formula>
      <formula>1</formula>
    </cfRule>
  </conditionalFormatting>
  <conditionalFormatting sqref="J22">
    <cfRule type="cellIs" dxfId="135" priority="265" operator="equal">
      <formula>0</formula>
    </cfRule>
    <cfRule type="cellIs" dxfId="134" priority="266" operator="between">
      <formula>-1</formula>
      <formula>1</formula>
    </cfRule>
  </conditionalFormatting>
  <conditionalFormatting sqref="J23">
    <cfRule type="cellIs" dxfId="133" priority="263" operator="equal">
      <formula>0</formula>
    </cfRule>
    <cfRule type="cellIs" dxfId="132" priority="264" operator="between">
      <formula>-1</formula>
      <formula>1</formula>
    </cfRule>
  </conditionalFormatting>
  <conditionalFormatting sqref="J24">
    <cfRule type="cellIs" dxfId="131" priority="261" operator="equal">
      <formula>0</formula>
    </cfRule>
    <cfRule type="cellIs" dxfId="130" priority="262" operator="between">
      <formula>-1</formula>
      <formula>1</formula>
    </cfRule>
  </conditionalFormatting>
  <conditionalFormatting sqref="J25">
    <cfRule type="cellIs" dxfId="129" priority="259" operator="equal">
      <formula>0</formula>
    </cfRule>
    <cfRule type="cellIs" dxfId="128" priority="260" operator="between">
      <formula>-1</formula>
      <formula>1</formula>
    </cfRule>
  </conditionalFormatting>
  <conditionalFormatting sqref="J26">
    <cfRule type="cellIs" dxfId="127" priority="257" operator="equal">
      <formula>0</formula>
    </cfRule>
    <cfRule type="cellIs" dxfId="126" priority="258" operator="between">
      <formula>-1</formula>
      <formula>1</formula>
    </cfRule>
  </conditionalFormatting>
  <conditionalFormatting sqref="J27">
    <cfRule type="cellIs" dxfId="125" priority="255" operator="equal">
      <formula>0</formula>
    </cfRule>
    <cfRule type="cellIs" dxfId="124" priority="256" operator="between">
      <formula>-1</formula>
      <formula>1</formula>
    </cfRule>
  </conditionalFormatting>
  <conditionalFormatting sqref="J28">
    <cfRule type="cellIs" dxfId="123" priority="253" operator="equal">
      <formula>0</formula>
    </cfRule>
    <cfRule type="cellIs" dxfId="122" priority="254" operator="between">
      <formula>-1</formula>
      <formula>1</formula>
    </cfRule>
  </conditionalFormatting>
  <conditionalFormatting sqref="K18">
    <cfRule type="cellIs" dxfId="121" priority="251" operator="equal">
      <formula>0</formula>
    </cfRule>
    <cfRule type="cellIs" dxfId="120" priority="252" operator="between">
      <formula>-1</formula>
      <formula>1</formula>
    </cfRule>
  </conditionalFormatting>
  <conditionalFormatting sqref="K19">
    <cfRule type="cellIs" dxfId="119" priority="249" operator="equal">
      <formula>0</formula>
    </cfRule>
    <cfRule type="cellIs" dxfId="118" priority="250" operator="between">
      <formula>-1</formula>
      <formula>1</formula>
    </cfRule>
  </conditionalFormatting>
  <conditionalFormatting sqref="K20">
    <cfRule type="cellIs" dxfId="117" priority="247" operator="equal">
      <formula>0</formula>
    </cfRule>
    <cfRule type="cellIs" dxfId="116" priority="248" operator="between">
      <formula>-1</formula>
      <formula>1</formula>
    </cfRule>
  </conditionalFormatting>
  <conditionalFormatting sqref="K21">
    <cfRule type="cellIs" dxfId="115" priority="245" operator="equal">
      <formula>0</formula>
    </cfRule>
    <cfRule type="cellIs" dxfId="114" priority="246" operator="between">
      <formula>-1</formula>
      <formula>1</formula>
    </cfRule>
  </conditionalFormatting>
  <conditionalFormatting sqref="K22">
    <cfRule type="cellIs" dxfId="113" priority="243" operator="equal">
      <formula>0</formula>
    </cfRule>
    <cfRule type="cellIs" dxfId="112" priority="244" operator="between">
      <formula>-1</formula>
      <formula>1</formula>
    </cfRule>
  </conditionalFormatting>
  <conditionalFormatting sqref="K25">
    <cfRule type="cellIs" dxfId="111" priority="235" operator="equal">
      <formula>0</formula>
    </cfRule>
    <cfRule type="cellIs" dxfId="110" priority="236" operator="between">
      <formula>-1</formula>
      <formula>1</formula>
    </cfRule>
  </conditionalFormatting>
  <conditionalFormatting sqref="K28">
    <cfRule type="cellIs" dxfId="109" priority="229" operator="equal">
      <formula>0</formula>
    </cfRule>
    <cfRule type="cellIs" dxfId="108" priority="230" operator="between">
      <formula>-1</formula>
      <formula>1</formula>
    </cfRule>
  </conditionalFormatting>
  <conditionalFormatting sqref="F17:G17">
    <cfRule type="cellIs" dxfId="107" priority="227" operator="equal">
      <formula>0</formula>
    </cfRule>
    <cfRule type="cellIs" dxfId="106" priority="228" operator="between">
      <formula>-1</formula>
      <formula>1</formula>
    </cfRule>
  </conditionalFormatting>
  <conditionalFormatting sqref="E17">
    <cfRule type="cellIs" dxfId="105" priority="225" operator="equal">
      <formula>0</formula>
    </cfRule>
    <cfRule type="cellIs" dxfId="104" priority="226" operator="between">
      <formula>-1</formula>
      <formula>1</formula>
    </cfRule>
  </conditionalFormatting>
  <conditionalFormatting sqref="L40:N42">
    <cfRule type="cellIs" dxfId="103" priority="223" operator="equal">
      <formula>0</formula>
    </cfRule>
    <cfRule type="cellIs" dxfId="102" priority="224" operator="between">
      <formula>-1</formula>
      <formula>1</formula>
    </cfRule>
  </conditionalFormatting>
  <conditionalFormatting sqref="O40:Q42">
    <cfRule type="cellIs" dxfId="101" priority="221" operator="equal">
      <formula>0</formula>
    </cfRule>
    <cfRule type="cellIs" dxfId="100" priority="222" operator="between">
      <formula>-1</formula>
      <formula>1</formula>
    </cfRule>
  </conditionalFormatting>
  <conditionalFormatting sqref="X25">
    <cfRule type="cellIs" dxfId="99" priority="69" operator="equal">
      <formula>0</formula>
    </cfRule>
    <cfRule type="cellIs" dxfId="98" priority="70" operator="between">
      <formula>-1</formula>
      <formula>1</formula>
    </cfRule>
  </conditionalFormatting>
  <conditionalFormatting sqref="Y26:Z26">
    <cfRule type="cellIs" dxfId="97" priority="67" operator="equal">
      <formula>0</formula>
    </cfRule>
    <cfRule type="cellIs" dxfId="96" priority="68" operator="between">
      <formula>-1</formula>
      <formula>1</formula>
    </cfRule>
  </conditionalFormatting>
  <conditionalFormatting sqref="X26">
    <cfRule type="cellIs" dxfId="95" priority="65" operator="equal">
      <formula>0</formula>
    </cfRule>
    <cfRule type="cellIs" dxfId="94" priority="66" operator="between">
      <formula>-1</formula>
      <formula>1</formula>
    </cfRule>
  </conditionalFormatting>
  <conditionalFormatting sqref="X27">
    <cfRule type="cellIs" dxfId="93" priority="61" operator="equal">
      <formula>0</formula>
    </cfRule>
    <cfRule type="cellIs" dxfId="92" priority="62" operator="between">
      <formula>-1</formula>
      <formula>1</formula>
    </cfRule>
  </conditionalFormatting>
  <conditionalFormatting sqref="Y28:Z28">
    <cfRule type="cellIs" dxfId="91" priority="59" operator="equal">
      <formula>0</formula>
    </cfRule>
    <cfRule type="cellIs" dxfId="90" priority="60" operator="between">
      <formula>-1</formula>
      <formula>1</formula>
    </cfRule>
  </conditionalFormatting>
  <conditionalFormatting sqref="Y18:Z18">
    <cfRule type="cellIs" dxfId="89" priority="99" operator="equal">
      <formula>0</formula>
    </cfRule>
    <cfRule type="cellIs" dxfId="88" priority="100" operator="between">
      <formula>-1</formula>
      <formula>1</formula>
    </cfRule>
  </conditionalFormatting>
  <conditionalFormatting sqref="Y19:Z19">
    <cfRule type="cellIs" dxfId="87" priority="95" operator="equal">
      <formula>0</formula>
    </cfRule>
    <cfRule type="cellIs" dxfId="86" priority="96" operator="between">
      <formula>-1</formula>
      <formula>1</formula>
    </cfRule>
  </conditionalFormatting>
  <conditionalFormatting sqref="Y20:Z20">
    <cfRule type="cellIs" dxfId="85" priority="91" operator="equal">
      <formula>0</formula>
    </cfRule>
    <cfRule type="cellIs" dxfId="84" priority="92" operator="between">
      <formula>-1</formula>
      <formula>1</formula>
    </cfRule>
  </conditionalFormatting>
  <conditionalFormatting sqref="Y21:Z21">
    <cfRule type="cellIs" dxfId="83" priority="87" operator="equal">
      <formula>0</formula>
    </cfRule>
    <cfRule type="cellIs" dxfId="82" priority="88" operator="between">
      <formula>-1</formula>
      <formula>1</formula>
    </cfRule>
  </conditionalFormatting>
  <conditionalFormatting sqref="Y22:Z22">
    <cfRule type="cellIs" dxfId="81" priority="83" operator="equal">
      <formula>0</formula>
    </cfRule>
    <cfRule type="cellIs" dxfId="80" priority="84" operator="between">
      <formula>-1</formula>
      <formula>1</formula>
    </cfRule>
  </conditionalFormatting>
  <conditionalFormatting sqref="Y23:Z23">
    <cfRule type="cellIs" dxfId="79" priority="79" operator="equal">
      <formula>0</formula>
    </cfRule>
    <cfRule type="cellIs" dxfId="78" priority="80" operator="between">
      <formula>-1</formula>
      <formula>1</formula>
    </cfRule>
  </conditionalFormatting>
  <conditionalFormatting sqref="Y24:Z24">
    <cfRule type="cellIs" dxfId="77" priority="75" operator="equal">
      <formula>0</formula>
    </cfRule>
    <cfRule type="cellIs" dxfId="76" priority="76" operator="between">
      <formula>-1</formula>
      <formula>1</formula>
    </cfRule>
  </conditionalFormatting>
  <conditionalFormatting sqref="X29:Z32">
    <cfRule type="cellIs" dxfId="75" priority="101" operator="equal">
      <formula>0</formula>
    </cfRule>
    <cfRule type="cellIs" dxfId="74" priority="102" operator="between">
      <formula>-1</formula>
      <formula>1</formula>
    </cfRule>
  </conditionalFormatting>
  <conditionalFormatting sqref="X18">
    <cfRule type="cellIs" dxfId="73" priority="97" operator="equal">
      <formula>0</formula>
    </cfRule>
    <cfRule type="cellIs" dxfId="72" priority="98" operator="between">
      <formula>-1</formula>
      <formula>1</formula>
    </cfRule>
  </conditionalFormatting>
  <conditionalFormatting sqref="X19">
    <cfRule type="cellIs" dxfId="71" priority="93" operator="equal">
      <formula>0</formula>
    </cfRule>
    <cfRule type="cellIs" dxfId="70" priority="94" operator="between">
      <formula>-1</formula>
      <formula>1</formula>
    </cfRule>
  </conditionalFormatting>
  <conditionalFormatting sqref="X20">
    <cfRule type="cellIs" dxfId="69" priority="89" operator="equal">
      <formula>0</formula>
    </cfRule>
    <cfRule type="cellIs" dxfId="68" priority="90" operator="between">
      <formula>-1</formula>
      <formula>1</formula>
    </cfRule>
  </conditionalFormatting>
  <conditionalFormatting sqref="X21">
    <cfRule type="cellIs" dxfId="67" priority="85" operator="equal">
      <formula>0</formula>
    </cfRule>
    <cfRule type="cellIs" dxfId="66" priority="86" operator="between">
      <formula>-1</formula>
      <formula>1</formula>
    </cfRule>
  </conditionalFormatting>
  <conditionalFormatting sqref="X22">
    <cfRule type="cellIs" dxfId="65" priority="81" operator="equal">
      <formula>0</formula>
    </cfRule>
    <cfRule type="cellIs" dxfId="64" priority="82" operator="between">
      <formula>-1</formula>
      <formula>1</formula>
    </cfRule>
  </conditionalFormatting>
  <conditionalFormatting sqref="X23">
    <cfRule type="cellIs" dxfId="63" priority="77" operator="equal">
      <formula>0</formula>
    </cfRule>
    <cfRule type="cellIs" dxfId="62" priority="78" operator="between">
      <formula>-1</formula>
      <formula>1</formula>
    </cfRule>
  </conditionalFormatting>
  <conditionalFormatting sqref="X24">
    <cfRule type="cellIs" dxfId="61" priority="73" operator="equal">
      <formula>0</formula>
    </cfRule>
    <cfRule type="cellIs" dxfId="60" priority="74" operator="between">
      <formula>-1</formula>
      <formula>1</formula>
    </cfRule>
  </conditionalFormatting>
  <conditionalFormatting sqref="Y25:Z25">
    <cfRule type="cellIs" dxfId="59" priority="71" operator="equal">
      <formula>0</formula>
    </cfRule>
    <cfRule type="cellIs" dxfId="58" priority="72" operator="between">
      <formula>-1</formula>
      <formula>1</formula>
    </cfRule>
  </conditionalFormatting>
  <conditionalFormatting sqref="Y27:Z27">
    <cfRule type="cellIs" dxfId="57" priority="63" operator="equal">
      <formula>0</formula>
    </cfRule>
    <cfRule type="cellIs" dxfId="56" priority="64" operator="between">
      <formula>-1</formula>
      <formula>1</formula>
    </cfRule>
  </conditionalFormatting>
  <conditionalFormatting sqref="X28">
    <cfRule type="cellIs" dxfId="55" priority="57" operator="equal">
      <formula>0</formula>
    </cfRule>
    <cfRule type="cellIs" dxfId="54" priority="58" operator="between">
      <formula>-1</formula>
      <formula>1</formula>
    </cfRule>
  </conditionalFormatting>
  <conditionalFormatting sqref="X17">
    <cfRule type="cellIs" dxfId="53" priority="53" operator="equal">
      <formula>0</formula>
    </cfRule>
    <cfRule type="cellIs" dxfId="52" priority="54" operator="between">
      <formula>-1</formula>
      <formula>1</formula>
    </cfRule>
  </conditionalFormatting>
  <conditionalFormatting sqref="Y17:Z17">
    <cfRule type="cellIs" dxfId="51" priority="55" operator="equal">
      <formula>0</formula>
    </cfRule>
    <cfRule type="cellIs" dxfId="50" priority="56" operator="between">
      <formula>-1</formula>
      <formula>1</formula>
    </cfRule>
  </conditionalFormatting>
  <conditionalFormatting sqref="AB17">
    <cfRule type="cellIs" dxfId="49" priority="1" operator="equal">
      <formula>0</formula>
    </cfRule>
    <cfRule type="cellIs" dxfId="48" priority="2" operator="between">
      <formula>-1</formula>
      <formula>1</formula>
    </cfRule>
  </conditionalFormatting>
  <conditionalFormatting sqref="AB29:AD32">
    <cfRule type="cellIs" dxfId="47" priority="49" operator="equal">
      <formula>0</formula>
    </cfRule>
    <cfRule type="cellIs" dxfId="46" priority="50" operator="between">
      <formula>-1</formula>
      <formula>1</formula>
    </cfRule>
  </conditionalFormatting>
  <conditionalFormatting sqref="AC18:AD18">
    <cfRule type="cellIs" dxfId="45" priority="47" operator="equal">
      <formula>0</formula>
    </cfRule>
    <cfRule type="cellIs" dxfId="44" priority="48" operator="between">
      <formula>-1</formula>
      <formula>1</formula>
    </cfRule>
  </conditionalFormatting>
  <conditionalFormatting sqref="AB18">
    <cfRule type="cellIs" dxfId="43" priority="45" operator="equal">
      <formula>0</formula>
    </cfRule>
    <cfRule type="cellIs" dxfId="42" priority="46" operator="between">
      <formula>-1</formula>
      <formula>1</formula>
    </cfRule>
  </conditionalFormatting>
  <conditionalFormatting sqref="AC19:AD19">
    <cfRule type="cellIs" dxfId="41" priority="43" operator="equal">
      <formula>0</formula>
    </cfRule>
    <cfRule type="cellIs" dxfId="40" priority="44" operator="between">
      <formula>-1</formula>
      <formula>1</formula>
    </cfRule>
  </conditionalFormatting>
  <conditionalFormatting sqref="AB19">
    <cfRule type="cellIs" dxfId="39" priority="41" operator="equal">
      <formula>0</formula>
    </cfRule>
    <cfRule type="cellIs" dxfId="38" priority="42" operator="between">
      <formula>-1</formula>
      <formula>1</formula>
    </cfRule>
  </conditionalFormatting>
  <conditionalFormatting sqref="AC20:AD20">
    <cfRule type="cellIs" dxfId="37" priority="39" operator="equal">
      <formula>0</formula>
    </cfRule>
    <cfRule type="cellIs" dxfId="36" priority="40" operator="between">
      <formula>-1</formula>
      <formula>1</formula>
    </cfRule>
  </conditionalFormatting>
  <conditionalFormatting sqref="AB20">
    <cfRule type="cellIs" dxfId="35" priority="37" operator="equal">
      <formula>0</formula>
    </cfRule>
    <cfRule type="cellIs" dxfId="34" priority="38" operator="between">
      <formula>-1</formula>
      <formula>1</formula>
    </cfRule>
  </conditionalFormatting>
  <conditionalFormatting sqref="AC21:AD21">
    <cfRule type="cellIs" dxfId="33" priority="35" operator="equal">
      <formula>0</formula>
    </cfRule>
    <cfRule type="cellIs" dxfId="32" priority="36" operator="between">
      <formula>-1</formula>
      <formula>1</formula>
    </cfRule>
  </conditionalFormatting>
  <conditionalFormatting sqref="AB21">
    <cfRule type="cellIs" dxfId="31" priority="33" operator="equal">
      <formula>0</formula>
    </cfRule>
    <cfRule type="cellIs" dxfId="30" priority="34" operator="between">
      <formula>-1</formula>
      <formula>1</formula>
    </cfRule>
  </conditionalFormatting>
  <conditionalFormatting sqref="AC22:AD22">
    <cfRule type="cellIs" dxfId="29" priority="31" operator="equal">
      <formula>0</formula>
    </cfRule>
    <cfRule type="cellIs" dxfId="28" priority="32" operator="between">
      <formula>-1</formula>
      <formula>1</formula>
    </cfRule>
  </conditionalFormatting>
  <conditionalFormatting sqref="AB22">
    <cfRule type="cellIs" dxfId="27" priority="29" operator="equal">
      <formula>0</formula>
    </cfRule>
    <cfRule type="cellIs" dxfId="26" priority="30" operator="between">
      <formula>-1</formula>
      <formula>1</formula>
    </cfRule>
  </conditionalFormatting>
  <conditionalFormatting sqref="AC23:AD23">
    <cfRule type="cellIs" dxfId="25" priority="27" operator="equal">
      <formula>0</formula>
    </cfRule>
    <cfRule type="cellIs" dxfId="24" priority="28" operator="between">
      <formula>-1</formula>
      <formula>1</formula>
    </cfRule>
  </conditionalFormatting>
  <conditionalFormatting sqref="AB23">
    <cfRule type="cellIs" dxfId="23" priority="25" operator="equal">
      <formula>0</formula>
    </cfRule>
    <cfRule type="cellIs" dxfId="22" priority="26" operator="between">
      <formula>-1</formula>
      <formula>1</formula>
    </cfRule>
  </conditionalFormatting>
  <conditionalFormatting sqref="AC24:AD24">
    <cfRule type="cellIs" dxfId="21" priority="23" operator="equal">
      <formula>0</formula>
    </cfRule>
    <cfRule type="cellIs" dxfId="20" priority="24" operator="between">
      <formula>-1</formula>
      <formula>1</formula>
    </cfRule>
  </conditionalFormatting>
  <conditionalFormatting sqref="AB24">
    <cfRule type="cellIs" dxfId="19" priority="21" operator="equal">
      <formula>0</formula>
    </cfRule>
    <cfRule type="cellIs" dxfId="18" priority="22" operator="between">
      <formula>-1</formula>
      <formula>1</formula>
    </cfRule>
  </conditionalFormatting>
  <conditionalFormatting sqref="AC25:AD25">
    <cfRule type="cellIs" dxfId="17" priority="19" operator="equal">
      <formula>0</formula>
    </cfRule>
    <cfRule type="cellIs" dxfId="16" priority="20" operator="between">
      <formula>-1</formula>
      <formula>1</formula>
    </cfRule>
  </conditionalFormatting>
  <conditionalFormatting sqref="AB25">
    <cfRule type="cellIs" dxfId="15" priority="17" operator="equal">
      <formula>0</formula>
    </cfRule>
    <cfRule type="cellIs" dxfId="14" priority="18" operator="between">
      <formula>-1</formula>
      <formula>1</formula>
    </cfRule>
  </conditionalFormatting>
  <conditionalFormatting sqref="AC26:AD26">
    <cfRule type="cellIs" dxfId="13" priority="15" operator="equal">
      <formula>0</formula>
    </cfRule>
    <cfRule type="cellIs" dxfId="12" priority="16" operator="between">
      <formula>-1</formula>
      <formula>1</formula>
    </cfRule>
  </conditionalFormatting>
  <conditionalFormatting sqref="AB26">
    <cfRule type="cellIs" dxfId="11" priority="13" operator="equal">
      <formula>0</formula>
    </cfRule>
    <cfRule type="cellIs" dxfId="10" priority="14" operator="between">
      <formula>-1</formula>
      <formula>1</formula>
    </cfRule>
  </conditionalFormatting>
  <conditionalFormatting sqref="AC27:AD27">
    <cfRule type="cellIs" dxfId="9" priority="11" operator="equal">
      <formula>0</formula>
    </cfRule>
    <cfRule type="cellIs" dxfId="8" priority="12" operator="between">
      <formula>-1</formula>
      <formula>1</formula>
    </cfRule>
  </conditionalFormatting>
  <conditionalFormatting sqref="AB27">
    <cfRule type="cellIs" dxfId="7" priority="9" operator="equal">
      <formula>0</formula>
    </cfRule>
    <cfRule type="cellIs" dxfId="6" priority="10" operator="between">
      <formula>-1</formula>
      <formula>1</formula>
    </cfRule>
  </conditionalFormatting>
  <conditionalFormatting sqref="AC28:AD28">
    <cfRule type="cellIs" dxfId="5" priority="7" operator="equal">
      <formula>0</formula>
    </cfRule>
    <cfRule type="cellIs" dxfId="4" priority="8" operator="between">
      <formula>-1</formula>
      <formula>1</formula>
    </cfRule>
  </conditionalFormatting>
  <conditionalFormatting sqref="AB28">
    <cfRule type="cellIs" dxfId="3" priority="5" operator="equal">
      <formula>0</formula>
    </cfRule>
    <cfRule type="cellIs" dxfId="2" priority="6" operator="between">
      <formula>-1</formula>
      <formula>1</formula>
    </cfRule>
  </conditionalFormatting>
  <conditionalFormatting sqref="AC17:AD17">
    <cfRule type="cellIs" dxfId="1" priority="3" operator="equal">
      <formula>0</formula>
    </cfRule>
    <cfRule type="cellIs" dxfId="0" priority="4" operator="between">
      <formula>-1</formula>
      <formula>1</formula>
    </cfRule>
  </conditionalFormatting>
  <printOptions horizontalCentered="1" verticalCentered="1"/>
  <pageMargins left="0.25" right="0.25" top="0.75" bottom="0.75" header="0.3" footer="0.3"/>
  <pageSetup paperSize="9"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9543F-1A52-43EB-9F60-82D9241EE394}">
  <sheetPr>
    <tabColor rgb="FFCCFF66"/>
    <pageSetUpPr fitToPage="1"/>
  </sheetPr>
  <dimension ref="A1:BL39"/>
  <sheetViews>
    <sheetView zoomScaleNormal="100" workbookViewId="0">
      <selection activeCell="AD2" sqref="AD2"/>
    </sheetView>
  </sheetViews>
  <sheetFormatPr baseColWidth="10" defaultRowHeight="15" x14ac:dyDescent="0.25"/>
  <cols>
    <col min="1" max="9" width="4.28515625" style="1" customWidth="1"/>
    <col min="10" max="12" width="4.28515625" style="59" customWidth="1"/>
    <col min="13" max="65" width="4.28515625" style="1" customWidth="1"/>
    <col min="66" max="72" width="11.42578125" style="1"/>
    <col min="73" max="84" width="7.5703125" style="1" customWidth="1"/>
    <col min="85" max="16384" width="11.42578125" style="1"/>
  </cols>
  <sheetData>
    <row r="1" spans="1:48" ht="15.75" customHeight="1" x14ac:dyDescent="0.25">
      <c r="A1" s="70"/>
      <c r="B1" s="70"/>
      <c r="I1" s="523"/>
      <c r="J1" s="523"/>
      <c r="K1" s="523"/>
      <c r="L1" s="523"/>
      <c r="M1" s="523"/>
      <c r="N1" s="523"/>
      <c r="O1" s="523"/>
      <c r="P1" s="50"/>
    </row>
    <row r="2" spans="1:48" ht="15.75" customHeight="1" x14ac:dyDescent="0.25">
      <c r="A2" s="70"/>
      <c r="B2" s="70"/>
      <c r="I2" s="523"/>
      <c r="J2" s="523"/>
      <c r="K2" s="523"/>
      <c r="L2" s="523"/>
      <c r="M2" s="523"/>
      <c r="N2" s="523"/>
      <c r="O2" s="523"/>
      <c r="P2" s="50"/>
    </row>
    <row r="3" spans="1:48" ht="15.75" customHeight="1" x14ac:dyDescent="0.25">
      <c r="A3" s="70"/>
      <c r="B3" s="70"/>
      <c r="I3" s="523"/>
      <c r="J3" s="523"/>
      <c r="K3" s="523"/>
      <c r="L3" s="523"/>
      <c r="M3" s="523"/>
      <c r="N3" s="523"/>
      <c r="O3" s="523"/>
      <c r="P3" s="50"/>
    </row>
    <row r="4" spans="1:48" ht="15.75" customHeight="1" x14ac:dyDescent="0.25">
      <c r="A4" s="70"/>
      <c r="B4" s="70"/>
      <c r="I4" s="523"/>
      <c r="J4" s="523"/>
      <c r="K4" s="523"/>
      <c r="L4" s="523"/>
      <c r="M4" s="523"/>
      <c r="N4" s="523"/>
      <c r="O4" s="523"/>
      <c r="P4" s="50"/>
    </row>
    <row r="5" spans="1:48" ht="15.75" customHeight="1" x14ac:dyDescent="0.25">
      <c r="A5" s="70"/>
      <c r="B5" s="70"/>
      <c r="I5" s="523"/>
      <c r="J5" s="523"/>
      <c r="K5" s="523"/>
      <c r="L5" s="523"/>
      <c r="M5" s="523"/>
      <c r="N5" s="523"/>
      <c r="O5" s="523"/>
      <c r="P5" s="50"/>
    </row>
    <row r="6" spans="1:48" ht="15.75" customHeight="1" x14ac:dyDescent="0.25">
      <c r="A6" s="70"/>
      <c r="B6" s="70"/>
      <c r="I6" s="523"/>
      <c r="J6" s="523"/>
      <c r="K6" s="523"/>
      <c r="L6" s="523"/>
      <c r="M6" s="523"/>
      <c r="N6" s="523"/>
      <c r="O6" s="523"/>
      <c r="P6" s="50"/>
    </row>
    <row r="7" spans="1:48" ht="15.75" customHeight="1" x14ac:dyDescent="0.25">
      <c r="A7" s="70"/>
      <c r="B7" s="70"/>
      <c r="I7" s="523"/>
      <c r="J7" s="523"/>
      <c r="K7" s="523"/>
      <c r="L7" s="523"/>
      <c r="M7" s="523"/>
      <c r="N7" s="523"/>
      <c r="O7" s="523"/>
      <c r="P7" s="50"/>
    </row>
    <row r="8" spans="1:48" ht="15.75" customHeight="1" x14ac:dyDescent="0.25">
      <c r="A8" s="70"/>
      <c r="B8" s="70"/>
      <c r="I8" s="523"/>
      <c r="J8" s="523"/>
      <c r="K8" s="523"/>
      <c r="L8" s="523"/>
      <c r="M8" s="523"/>
      <c r="N8" s="523"/>
      <c r="O8" s="523"/>
      <c r="P8" s="50"/>
    </row>
    <row r="9" spans="1:48" ht="15.75" customHeight="1" x14ac:dyDescent="0.25">
      <c r="A9" s="70"/>
      <c r="B9" s="70"/>
      <c r="I9" s="523"/>
      <c r="J9" s="523"/>
      <c r="K9" s="523"/>
      <c r="L9" s="523"/>
      <c r="M9" s="523"/>
      <c r="N9" s="523"/>
      <c r="O9" s="523"/>
      <c r="P9" s="50"/>
    </row>
    <row r="10" spans="1:48" ht="15.75" customHeight="1" x14ac:dyDescent="0.25">
      <c r="A10" s="70"/>
      <c r="B10" s="70"/>
      <c r="I10" s="523"/>
      <c r="J10" s="523"/>
      <c r="K10" s="523"/>
      <c r="L10" s="523"/>
      <c r="M10" s="523"/>
      <c r="N10" s="523"/>
      <c r="O10" s="523"/>
      <c r="P10" s="50"/>
    </row>
    <row r="11" spans="1:48" ht="15.75" customHeight="1" x14ac:dyDescent="0.25">
      <c r="A11" s="70"/>
      <c r="B11" s="70"/>
      <c r="I11" s="523"/>
      <c r="J11" s="523"/>
      <c r="K11" s="523"/>
      <c r="L11" s="523"/>
      <c r="M11" s="523"/>
      <c r="N11" s="523"/>
      <c r="O11" s="523"/>
      <c r="P11" s="50"/>
    </row>
    <row r="12" spans="1:48" ht="15.75" customHeight="1" x14ac:dyDescent="0.25">
      <c r="A12" s="70"/>
      <c r="B12" s="70"/>
      <c r="I12" s="523"/>
      <c r="J12" s="523"/>
      <c r="K12" s="523"/>
      <c r="L12" s="523"/>
      <c r="M12" s="523"/>
      <c r="N12" s="523"/>
      <c r="O12" s="523"/>
      <c r="P12" s="50"/>
    </row>
    <row r="13" spans="1:48" ht="15.75" customHeight="1" x14ac:dyDescent="0.25">
      <c r="A13" s="70"/>
      <c r="B13" s="70"/>
      <c r="I13" s="523"/>
      <c r="J13" s="523"/>
      <c r="K13" s="523"/>
      <c r="L13" s="523"/>
      <c r="M13" s="523"/>
      <c r="N13" s="523"/>
      <c r="O13" s="523"/>
      <c r="P13" s="50"/>
    </row>
    <row r="14" spans="1:48" ht="34.5" customHeight="1" x14ac:dyDescent="0.5">
      <c r="A14" s="679" t="s">
        <v>25</v>
      </c>
      <c r="B14" s="679"/>
      <c r="C14" s="679"/>
      <c r="D14" s="679"/>
      <c r="E14" s="679"/>
      <c r="F14" s="679"/>
      <c r="G14" s="679"/>
      <c r="H14" s="679"/>
      <c r="I14" s="679"/>
      <c r="J14" s="679"/>
      <c r="K14" s="679"/>
      <c r="L14" s="679"/>
      <c r="M14" s="679"/>
      <c r="N14" s="679"/>
      <c r="O14" s="679"/>
      <c r="P14" s="679"/>
      <c r="Q14" s="679"/>
      <c r="R14" s="679"/>
      <c r="S14" s="679"/>
      <c r="T14" s="679"/>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679"/>
      <c r="AR14" s="679"/>
      <c r="AS14" s="190"/>
      <c r="AT14" s="191"/>
      <c r="AU14" s="191"/>
      <c r="AV14" s="192" t="str">
        <f>SAISIE!AY9</f>
        <v>Version 220512</v>
      </c>
    </row>
    <row r="15" spans="1:48" ht="23.25" customHeight="1" x14ac:dyDescent="0.35">
      <c r="A15" s="682" t="s">
        <v>91</v>
      </c>
      <c r="B15" s="682"/>
      <c r="C15" s="682"/>
      <c r="D15" s="682"/>
      <c r="E15" s="682"/>
      <c r="F15" s="682"/>
      <c r="G15" s="682"/>
      <c r="H15" s="682"/>
      <c r="I15" s="682"/>
      <c r="J15" s="682"/>
      <c r="K15" s="682"/>
      <c r="L15" s="682"/>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row>
    <row r="16" spans="1:48" ht="23.25" x14ac:dyDescent="0.25">
      <c r="A16" s="714" t="str">
        <f>IF(SAISIE!G14="","",SAISIE!G14)</f>
        <v/>
      </c>
      <c r="B16" s="714"/>
      <c r="C16" s="714"/>
      <c r="D16" s="714"/>
      <c r="E16" s="714"/>
      <c r="F16" s="714"/>
      <c r="G16" s="714"/>
      <c r="H16" s="714"/>
      <c r="I16" s="714"/>
      <c r="J16" s="714"/>
      <c r="K16" s="714"/>
      <c r="L16" s="714"/>
      <c r="M16" s="714"/>
      <c r="N16" s="714"/>
      <c r="O16" s="714"/>
      <c r="P16" s="714"/>
      <c r="Q16" s="714"/>
      <c r="R16" s="714"/>
      <c r="S16" s="714"/>
      <c r="T16" s="714"/>
      <c r="U16" s="714"/>
      <c r="V16" s="714"/>
      <c r="W16" s="714"/>
      <c r="X16" s="714"/>
      <c r="Y16" s="714"/>
      <c r="Z16" s="714"/>
      <c r="AA16" s="714"/>
      <c r="AB16" s="714"/>
      <c r="AC16" s="714"/>
      <c r="AD16" s="714"/>
      <c r="AE16" s="714"/>
      <c r="AF16" s="714"/>
      <c r="AG16" s="714"/>
      <c r="AH16" s="714"/>
      <c r="AI16" s="714"/>
      <c r="AJ16" s="714"/>
      <c r="AK16" s="714"/>
      <c r="AL16" s="714"/>
      <c r="AM16" s="714"/>
      <c r="AN16" s="714"/>
      <c r="AO16" s="714"/>
      <c r="AP16" s="714"/>
      <c r="AQ16" s="714"/>
      <c r="AR16" s="714"/>
      <c r="AS16" s="714"/>
      <c r="AT16" s="714"/>
      <c r="AU16" s="714"/>
      <c r="AV16" s="714"/>
    </row>
    <row r="17" spans="1:47" ht="15" customHeight="1" x14ac:dyDescent="0.25">
      <c r="J17" s="1"/>
      <c r="K17" s="1"/>
      <c r="L17" s="1"/>
    </row>
    <row r="18" spans="1:47" ht="15" customHeight="1" x14ac:dyDescent="0.35">
      <c r="C18" s="646" t="str">
        <f>SAISIE!E199</f>
        <v>Cout de production partiel* (€/T)</v>
      </c>
      <c r="D18" s="646"/>
      <c r="E18" s="646"/>
      <c r="F18" s="646"/>
      <c r="G18" s="646"/>
      <c r="H18" s="646"/>
      <c r="I18" s="646"/>
      <c r="J18" s="646"/>
      <c r="K18" s="646"/>
      <c r="L18" s="646"/>
      <c r="M18" s="646"/>
      <c r="N18" s="646"/>
      <c r="R18" s="643" t="str">
        <f>SAISIE!E200</f>
        <v>Seuil de commercialisation partiel* (€/T)</v>
      </c>
      <c r="S18" s="643"/>
      <c r="T18" s="643"/>
      <c r="U18" s="643"/>
      <c r="V18" s="643"/>
      <c r="W18" s="643"/>
      <c r="X18" s="643"/>
      <c r="Y18" s="643"/>
      <c r="Z18" s="643"/>
      <c r="AA18" s="643"/>
      <c r="AB18" s="643"/>
      <c r="AC18" s="643"/>
      <c r="AD18" s="643"/>
    </row>
    <row r="19" spans="1:47" ht="30" customHeight="1" x14ac:dyDescent="0.25">
      <c r="C19" s="646"/>
      <c r="D19" s="646"/>
      <c r="E19" s="646"/>
      <c r="F19" s="646"/>
      <c r="G19" s="646"/>
      <c r="H19" s="646"/>
      <c r="I19" s="646"/>
      <c r="J19" s="646"/>
      <c r="K19" s="646"/>
      <c r="L19" s="646"/>
      <c r="M19" s="646"/>
      <c r="N19" s="646"/>
    </row>
    <row r="20" spans="1:47" ht="15" customHeight="1" x14ac:dyDescent="0.25">
      <c r="A20" s="5"/>
      <c r="J20" s="1"/>
      <c r="K20" s="1"/>
      <c r="L20" s="1"/>
      <c r="AU20" s="3"/>
    </row>
    <row r="21" spans="1:47" ht="5.25" customHeight="1" x14ac:dyDescent="0.25">
      <c r="A21" s="5"/>
      <c r="J21" s="1"/>
      <c r="K21" s="1"/>
      <c r="L21" s="1"/>
    </row>
    <row r="22" spans="1:47" ht="15" customHeight="1" x14ac:dyDescent="0.25">
      <c r="A22" s="5"/>
      <c r="J22" s="1"/>
      <c r="K22" s="1"/>
      <c r="L22" s="1"/>
    </row>
    <row r="23" spans="1:47" ht="15" customHeight="1" x14ac:dyDescent="0.25">
      <c r="A23" s="5"/>
      <c r="J23" s="1"/>
      <c r="K23" s="1"/>
      <c r="L23" s="1"/>
    </row>
    <row r="24" spans="1:47" ht="5.25" customHeight="1" x14ac:dyDescent="0.25">
      <c r="A24" s="5"/>
      <c r="J24" s="1"/>
      <c r="K24" s="1"/>
      <c r="L24" s="1"/>
    </row>
    <row r="25" spans="1:47" ht="15" customHeight="1" x14ac:dyDescent="0.25">
      <c r="A25" s="5"/>
      <c r="J25" s="1"/>
      <c r="K25" s="1"/>
      <c r="L25" s="1"/>
    </row>
    <row r="26" spans="1:47" ht="15" customHeight="1" x14ac:dyDescent="0.25">
      <c r="J26" s="1"/>
      <c r="K26" s="1"/>
      <c r="L26" s="1"/>
    </row>
    <row r="27" spans="1:47" ht="18.75" customHeight="1" x14ac:dyDescent="0.25">
      <c r="J27" s="1"/>
      <c r="K27" s="1"/>
      <c r="L27" s="1"/>
    </row>
    <row r="28" spans="1:47" ht="15" customHeight="1" x14ac:dyDescent="0.25">
      <c r="J28" s="1"/>
      <c r="K28" s="1"/>
      <c r="L28" s="1"/>
    </row>
    <row r="29" spans="1:47" ht="15" customHeight="1" x14ac:dyDescent="0.25">
      <c r="J29" s="1"/>
      <c r="K29" s="1"/>
      <c r="L29" s="1"/>
    </row>
    <row r="30" spans="1:47" ht="15" customHeight="1" x14ac:dyDescent="0.25">
      <c r="J30" s="1"/>
      <c r="K30" s="1"/>
      <c r="L30" s="1"/>
    </row>
    <row r="31" spans="1:47" x14ac:dyDescent="0.25">
      <c r="J31" s="1"/>
      <c r="K31" s="1"/>
      <c r="L31" s="1"/>
    </row>
    <row r="32" spans="1:47" x14ac:dyDescent="0.25">
      <c r="J32" s="1"/>
      <c r="K32" s="1"/>
      <c r="L32" s="1"/>
    </row>
    <row r="33" spans="2:64" x14ac:dyDescent="0.25">
      <c r="J33" s="1"/>
      <c r="K33" s="1"/>
      <c r="L33" s="1"/>
    </row>
    <row r="34" spans="2:64" x14ac:dyDescent="0.25">
      <c r="J34" s="1"/>
      <c r="K34" s="1"/>
      <c r="L34" s="1"/>
    </row>
    <row r="35" spans="2:64" ht="18" customHeight="1" x14ac:dyDescent="0.25">
      <c r="J35" s="1"/>
      <c r="K35" s="1"/>
      <c r="L35" s="1"/>
    </row>
    <row r="36" spans="2:64" ht="18.75" customHeight="1" x14ac:dyDescent="0.25">
      <c r="B36" s="654" t="s">
        <v>156</v>
      </c>
      <c r="C36" s="644" t="s">
        <v>155</v>
      </c>
      <c r="D36" s="645"/>
      <c r="E36" s="645"/>
      <c r="F36" s="645"/>
      <c r="G36" s="645"/>
      <c r="H36" s="645"/>
      <c r="I36" s="647" t="str">
        <f>SAISIE!F199</f>
        <v/>
      </c>
      <c r="J36" s="647"/>
      <c r="K36" s="647"/>
      <c r="L36" s="647"/>
      <c r="M36" s="647"/>
      <c r="N36" s="647"/>
      <c r="O36" s="647"/>
      <c r="P36" s="647"/>
      <c r="Q36" s="647"/>
      <c r="R36" s="647"/>
      <c r="S36" s="647"/>
      <c r="T36" s="647"/>
      <c r="U36" s="647"/>
      <c r="V36" s="647"/>
      <c r="W36" s="647"/>
      <c r="X36" s="647"/>
      <c r="Y36" s="647"/>
      <c r="Z36" s="647"/>
      <c r="AA36" s="647"/>
      <c r="AB36" s="647"/>
      <c r="AC36" s="647"/>
      <c r="AD36" s="647"/>
      <c r="AE36" s="647"/>
      <c r="AF36" s="647"/>
      <c r="AG36" s="647"/>
      <c r="AH36" s="647"/>
      <c r="AI36" s="647"/>
      <c r="AJ36" s="647"/>
      <c r="AK36" s="647"/>
      <c r="AL36" s="647"/>
      <c r="AM36" s="647"/>
      <c r="AN36" s="647"/>
      <c r="AO36" s="647"/>
      <c r="AP36" s="647"/>
      <c r="AQ36" s="647"/>
      <c r="AR36" s="647"/>
      <c r="AS36" s="647"/>
      <c r="AT36" s="647"/>
      <c r="AU36" s="647"/>
      <c r="AV36" s="647"/>
      <c r="BC36" s="69"/>
    </row>
    <row r="37" spans="2:64" ht="15" customHeight="1" x14ac:dyDescent="0.25">
      <c r="B37" s="654"/>
      <c r="C37" s="228"/>
      <c r="D37" s="228"/>
      <c r="E37" s="228"/>
      <c r="F37" s="228"/>
      <c r="G37" s="228"/>
      <c r="H37" s="228"/>
      <c r="I37" s="647"/>
      <c r="J37" s="647"/>
      <c r="K37" s="647"/>
      <c r="L37" s="647"/>
      <c r="M37" s="647"/>
      <c r="N37" s="647"/>
      <c r="O37" s="647"/>
      <c r="P37" s="647"/>
      <c r="Q37" s="647"/>
      <c r="R37" s="647"/>
      <c r="S37" s="647"/>
      <c r="T37" s="647"/>
      <c r="U37" s="647"/>
      <c r="V37" s="647"/>
      <c r="W37" s="647"/>
      <c r="X37" s="647"/>
      <c r="Y37" s="647"/>
      <c r="Z37" s="647"/>
      <c r="AA37" s="647"/>
      <c r="AB37" s="647"/>
      <c r="AC37" s="647"/>
      <c r="AD37" s="647"/>
      <c r="AE37" s="647"/>
      <c r="AF37" s="647"/>
      <c r="AG37" s="647"/>
      <c r="AH37" s="647"/>
      <c r="AI37" s="647"/>
      <c r="AJ37" s="647"/>
      <c r="AK37" s="647"/>
      <c r="AL37" s="647"/>
      <c r="AM37" s="647"/>
      <c r="AN37" s="647"/>
      <c r="AO37" s="647"/>
      <c r="AP37" s="647"/>
      <c r="AQ37" s="647"/>
      <c r="AR37" s="647"/>
      <c r="AS37" s="647"/>
      <c r="AT37" s="647"/>
      <c r="AU37" s="647"/>
      <c r="AV37" s="647"/>
    </row>
    <row r="38" spans="2:64" ht="15.75" x14ac:dyDescent="0.25">
      <c r="I38" s="647"/>
      <c r="J38" s="647"/>
      <c r="K38" s="647"/>
      <c r="L38" s="647"/>
      <c r="M38" s="647"/>
      <c r="N38" s="647"/>
      <c r="O38" s="647"/>
      <c r="P38" s="647"/>
      <c r="Q38" s="647"/>
      <c r="R38" s="647"/>
      <c r="S38" s="647"/>
      <c r="T38" s="647"/>
      <c r="U38" s="647"/>
      <c r="V38" s="647"/>
      <c r="W38" s="647"/>
      <c r="X38" s="647"/>
      <c r="Y38" s="647"/>
      <c r="Z38" s="647"/>
      <c r="AA38" s="647"/>
      <c r="AB38" s="647"/>
      <c r="AC38" s="647"/>
      <c r="AD38" s="647"/>
      <c r="AE38" s="647"/>
      <c r="AF38" s="647"/>
      <c r="AG38" s="647"/>
      <c r="AH38" s="647"/>
      <c r="AI38" s="647"/>
      <c r="AJ38" s="647"/>
      <c r="AK38" s="647"/>
      <c r="AL38" s="647"/>
      <c r="AM38" s="647"/>
      <c r="AN38" s="647"/>
      <c r="AO38" s="647"/>
      <c r="AP38" s="647"/>
      <c r="AQ38" s="647"/>
      <c r="AR38" s="647"/>
      <c r="AS38" s="647"/>
      <c r="AT38" s="647"/>
      <c r="AU38" s="647"/>
      <c r="AV38" s="647"/>
      <c r="AW38" s="64"/>
      <c r="AX38" s="64"/>
      <c r="AY38" s="64"/>
      <c r="AZ38" s="64"/>
      <c r="BA38" s="64"/>
      <c r="BB38" s="64"/>
      <c r="BC38" s="64"/>
      <c r="BD38" s="64"/>
      <c r="BE38" s="64"/>
      <c r="BF38" s="64"/>
      <c r="BG38" s="64"/>
      <c r="BH38" s="64"/>
      <c r="BI38" s="64"/>
      <c r="BJ38" s="64"/>
      <c r="BK38" s="64"/>
      <c r="BL38" s="64"/>
    </row>
    <row r="39" spans="2:64" x14ac:dyDescent="0.25">
      <c r="AA39" s="60"/>
      <c r="AB39" s="60"/>
      <c r="AC39" s="60"/>
      <c r="AD39" s="60"/>
      <c r="AE39" s="60"/>
      <c r="AF39" s="60"/>
      <c r="AG39" s="60"/>
      <c r="AH39" s="60"/>
      <c r="AI39" s="60"/>
      <c r="AJ39" s="60"/>
      <c r="AK39" s="60"/>
      <c r="AL39" s="60"/>
      <c r="AM39" s="60"/>
      <c r="AN39" s="60"/>
      <c r="AO39" s="60"/>
      <c r="AP39" s="60"/>
    </row>
  </sheetData>
  <sheetProtection algorithmName="SHA-512" hashValue="lytWbmz0FPkgBRKy9SRGkXzR+FFC661QKeh8sNF7sNAud49N3tA0QRvla7jtcap73JAIc893pHzuahXLtGs4ag==" saltValue="FkFKw40Pq309AJpNDz/yfQ==" spinCount="100000" sheet="1" objects="1" scenarios="1" selectLockedCells="1" selectUnlockedCells="1"/>
  <mergeCells count="9">
    <mergeCell ref="I1:O13"/>
    <mergeCell ref="A14:AR14"/>
    <mergeCell ref="B36:B37"/>
    <mergeCell ref="C36:H36"/>
    <mergeCell ref="A15:AV15"/>
    <mergeCell ref="R18:AD18"/>
    <mergeCell ref="C18:N19"/>
    <mergeCell ref="I36:AV38"/>
    <mergeCell ref="A16:AV16"/>
  </mergeCells>
  <printOptions horizontalCentered="1" verticalCentered="1"/>
  <pageMargins left="0.25" right="0.25" top="0.75" bottom="0.75" header="0.3" footer="0.3"/>
  <pageSetup paperSize="9" scale="6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513B0-A0F1-4D83-870A-2A31ADF7BB95}">
  <sheetPr>
    <tabColor rgb="FFCCFF66"/>
    <pageSetUpPr fitToPage="1"/>
  </sheetPr>
  <dimension ref="A1:BY56"/>
  <sheetViews>
    <sheetView zoomScaleNormal="100" workbookViewId="0">
      <selection activeCell="AC2" sqref="AC2"/>
    </sheetView>
  </sheetViews>
  <sheetFormatPr baseColWidth="10" defaultRowHeight="15" x14ac:dyDescent="0.25"/>
  <cols>
    <col min="1" max="7" width="4.28515625" style="1" customWidth="1"/>
    <col min="8" max="8" width="6.140625" style="1" customWidth="1"/>
    <col min="9" max="9" width="4.28515625" style="1" customWidth="1"/>
    <col min="10" max="12" width="4.28515625" style="59" customWidth="1"/>
    <col min="13" max="65" width="4.28515625" style="1" customWidth="1"/>
    <col min="66" max="72" width="11.42578125" style="1"/>
    <col min="73" max="84" width="7.5703125" style="1" customWidth="1"/>
    <col min="85" max="16384" width="11.42578125" style="1"/>
  </cols>
  <sheetData>
    <row r="1" spans="1:48" ht="15.75" customHeight="1" x14ac:dyDescent="0.25">
      <c r="A1" s="70"/>
      <c r="B1" s="70"/>
      <c r="I1" s="523"/>
      <c r="J1" s="523"/>
      <c r="K1" s="523"/>
      <c r="L1" s="523"/>
      <c r="M1" s="523"/>
      <c r="N1" s="523"/>
      <c r="O1" s="523"/>
      <c r="P1" s="50"/>
    </row>
    <row r="2" spans="1:48" ht="15.75" customHeight="1" x14ac:dyDescent="0.25">
      <c r="A2" s="70"/>
      <c r="B2" s="70"/>
      <c r="I2" s="523"/>
      <c r="J2" s="523"/>
      <c r="K2" s="523"/>
      <c r="L2" s="523"/>
      <c r="M2" s="523"/>
      <c r="N2" s="523"/>
      <c r="O2" s="523"/>
      <c r="P2" s="50"/>
    </row>
    <row r="3" spans="1:48" ht="15.75" customHeight="1" x14ac:dyDescent="0.25">
      <c r="A3" s="70"/>
      <c r="B3" s="70"/>
      <c r="I3" s="523"/>
      <c r="J3" s="523"/>
      <c r="K3" s="523"/>
      <c r="L3" s="523"/>
      <c r="M3" s="523"/>
      <c r="N3" s="523"/>
      <c r="O3" s="523"/>
      <c r="P3" s="50"/>
    </row>
    <row r="4" spans="1:48" ht="15.75" customHeight="1" x14ac:dyDescent="0.25">
      <c r="A4" s="70"/>
      <c r="B4" s="70"/>
      <c r="I4" s="523"/>
      <c r="J4" s="523"/>
      <c r="K4" s="523"/>
      <c r="L4" s="523"/>
      <c r="M4" s="523"/>
      <c r="N4" s="523"/>
      <c r="O4" s="523"/>
      <c r="P4" s="50"/>
    </row>
    <row r="5" spans="1:48" ht="15.75" customHeight="1" x14ac:dyDescent="0.25">
      <c r="A5" s="70"/>
      <c r="B5" s="70"/>
      <c r="I5" s="523"/>
      <c r="J5" s="523"/>
      <c r="K5" s="523"/>
      <c r="L5" s="523"/>
      <c r="M5" s="523"/>
      <c r="N5" s="523"/>
      <c r="O5" s="523"/>
      <c r="P5" s="50"/>
    </row>
    <row r="6" spans="1:48" ht="15.75" customHeight="1" x14ac:dyDescent="0.25">
      <c r="A6" s="70"/>
      <c r="B6" s="70"/>
      <c r="I6" s="523"/>
      <c r="J6" s="523"/>
      <c r="K6" s="523"/>
      <c r="L6" s="523"/>
      <c r="M6" s="523"/>
      <c r="N6" s="523"/>
      <c r="O6" s="523"/>
      <c r="P6" s="50"/>
    </row>
    <row r="7" spans="1:48" ht="15.75" customHeight="1" x14ac:dyDescent="0.25">
      <c r="A7" s="70"/>
      <c r="B7" s="70"/>
      <c r="I7" s="523"/>
      <c r="J7" s="523"/>
      <c r="K7" s="523"/>
      <c r="L7" s="523"/>
      <c r="M7" s="523"/>
      <c r="N7" s="523"/>
      <c r="O7" s="523"/>
      <c r="P7" s="50"/>
    </row>
    <row r="8" spans="1:48" ht="15.75" customHeight="1" x14ac:dyDescent="0.25">
      <c r="A8" s="70"/>
      <c r="B8" s="70"/>
      <c r="I8" s="523"/>
      <c r="J8" s="523"/>
      <c r="K8" s="523"/>
      <c r="L8" s="523"/>
      <c r="M8" s="523"/>
      <c r="N8" s="523"/>
      <c r="O8" s="523"/>
      <c r="P8" s="50"/>
    </row>
    <row r="9" spans="1:48" ht="15.75" customHeight="1" x14ac:dyDescent="0.25">
      <c r="A9" s="70"/>
      <c r="B9" s="70"/>
      <c r="I9" s="523"/>
      <c r="J9" s="523"/>
      <c r="K9" s="523"/>
      <c r="L9" s="523"/>
      <c r="M9" s="523"/>
      <c r="N9" s="523"/>
      <c r="O9" s="523"/>
      <c r="P9" s="50"/>
    </row>
    <row r="10" spans="1:48" ht="15.75" customHeight="1" x14ac:dyDescent="0.25">
      <c r="A10" s="70"/>
      <c r="B10" s="70"/>
      <c r="I10" s="523"/>
      <c r="J10" s="523"/>
      <c r="K10" s="523"/>
      <c r="L10" s="523"/>
      <c r="M10" s="523"/>
      <c r="N10" s="523"/>
      <c r="O10" s="523"/>
      <c r="P10" s="50"/>
    </row>
    <row r="11" spans="1:48" ht="15.75" customHeight="1" x14ac:dyDescent="0.25">
      <c r="A11" s="70"/>
      <c r="B11" s="70"/>
      <c r="I11" s="523"/>
      <c r="J11" s="523"/>
      <c r="K11" s="523"/>
      <c r="L11" s="523"/>
      <c r="M11" s="523"/>
      <c r="N11" s="523"/>
      <c r="O11" s="523"/>
      <c r="P11" s="50"/>
    </row>
    <row r="12" spans="1:48" ht="15.75" customHeight="1" x14ac:dyDescent="0.25">
      <c r="A12" s="70"/>
      <c r="B12" s="70"/>
      <c r="I12" s="523"/>
      <c r="J12" s="523"/>
      <c r="K12" s="523"/>
      <c r="L12" s="523"/>
      <c r="M12" s="523"/>
      <c r="N12" s="523"/>
      <c r="O12" s="523"/>
      <c r="P12" s="50"/>
    </row>
    <row r="13" spans="1:48" ht="15.75" customHeight="1" x14ac:dyDescent="0.25">
      <c r="A13" s="70"/>
      <c r="B13" s="70"/>
      <c r="I13" s="523"/>
      <c r="J13" s="523"/>
      <c r="K13" s="523"/>
      <c r="L13" s="523"/>
      <c r="M13" s="523"/>
      <c r="N13" s="523"/>
      <c r="O13" s="523"/>
      <c r="P13" s="50"/>
    </row>
    <row r="14" spans="1:48" ht="34.5" customHeight="1" x14ac:dyDescent="0.5">
      <c r="A14" s="679" t="s">
        <v>25</v>
      </c>
      <c r="B14" s="679"/>
      <c r="C14" s="679"/>
      <c r="D14" s="679"/>
      <c r="E14" s="679"/>
      <c r="F14" s="679"/>
      <c r="G14" s="679"/>
      <c r="H14" s="679"/>
      <c r="I14" s="679"/>
      <c r="J14" s="679"/>
      <c r="K14" s="679"/>
      <c r="L14" s="679"/>
      <c r="M14" s="679"/>
      <c r="N14" s="679"/>
      <c r="O14" s="679"/>
      <c r="P14" s="679"/>
      <c r="Q14" s="679"/>
      <c r="R14" s="679"/>
      <c r="S14" s="679"/>
      <c r="T14" s="679"/>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679"/>
      <c r="AR14" s="679"/>
      <c r="AS14" s="190"/>
      <c r="AT14" s="191"/>
      <c r="AU14" s="191"/>
      <c r="AV14" s="192" t="str">
        <f>SAISIE!AY9</f>
        <v>Version 220512</v>
      </c>
    </row>
    <row r="15" spans="1:48" ht="23.25" customHeight="1" x14ac:dyDescent="0.35">
      <c r="A15" s="682" t="s">
        <v>91</v>
      </c>
      <c r="B15" s="682"/>
      <c r="C15" s="682"/>
      <c r="D15" s="682"/>
      <c r="E15" s="682"/>
      <c r="F15" s="682"/>
      <c r="G15" s="682"/>
      <c r="H15" s="682"/>
      <c r="I15" s="682"/>
      <c r="J15" s="682"/>
      <c r="K15" s="682"/>
      <c r="L15" s="682"/>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row>
    <row r="16" spans="1:48" ht="23.25" customHeight="1" x14ac:dyDescent="0.35">
      <c r="A16" s="682" t="str">
        <f>IF(SAISIE!G14="","",SAISIE!G14)</f>
        <v/>
      </c>
      <c r="B16" s="682"/>
      <c r="C16" s="682"/>
      <c r="D16" s="682"/>
      <c r="E16" s="682"/>
      <c r="F16" s="682"/>
      <c r="G16" s="682"/>
      <c r="H16" s="682"/>
      <c r="I16" s="682"/>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row>
    <row r="17" spans="10:55" x14ac:dyDescent="0.25">
      <c r="J17" s="1"/>
      <c r="K17" s="5"/>
      <c r="L17" s="1"/>
      <c r="AQ17" s="3"/>
      <c r="AR17" s="3"/>
      <c r="AS17" s="3"/>
      <c r="AT17" s="3"/>
      <c r="AU17" s="3"/>
      <c r="AV17" s="3"/>
      <c r="AW17" s="3"/>
      <c r="AX17" s="3"/>
      <c r="AY17" s="3"/>
      <c r="AZ17" s="3"/>
      <c r="BA17" s="3"/>
      <c r="BB17" s="3"/>
      <c r="BC17" s="3"/>
    </row>
    <row r="18" spans="10:55" x14ac:dyDescent="0.25">
      <c r="J18" s="1"/>
      <c r="K18" s="5"/>
      <c r="L18" s="1"/>
      <c r="AQ18" s="3"/>
      <c r="AR18" s="3"/>
      <c r="AS18" s="3"/>
      <c r="AT18" s="3"/>
      <c r="AU18" s="3"/>
      <c r="AV18" s="3"/>
      <c r="AW18" s="3"/>
      <c r="AX18" s="3"/>
      <c r="AY18" s="3"/>
      <c r="AZ18" s="3"/>
      <c r="BA18" s="3"/>
      <c r="BB18" s="3"/>
      <c r="BC18" s="3"/>
    </row>
    <row r="19" spans="10:55" x14ac:dyDescent="0.25">
      <c r="J19" s="1"/>
      <c r="K19" s="5"/>
      <c r="L19" s="1"/>
      <c r="AQ19" s="3"/>
      <c r="AR19" s="3"/>
      <c r="AS19" s="3"/>
      <c r="AT19" s="3"/>
      <c r="AU19" s="3"/>
      <c r="AV19" s="3"/>
      <c r="AW19" s="3"/>
      <c r="AX19" s="3"/>
      <c r="AY19" s="3"/>
      <c r="AZ19" s="3"/>
      <c r="BA19" s="3"/>
      <c r="BB19" s="3"/>
      <c r="BC19" s="3"/>
    </row>
    <row r="20" spans="10:55" x14ac:dyDescent="0.25">
      <c r="J20" s="1"/>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row>
    <row r="21" spans="10:55" ht="15" customHeight="1" x14ac:dyDescent="0.25">
      <c r="J21" s="5"/>
      <c r="K21" s="642" t="str">
        <f>SAISIE!F200</f>
        <v>Rdt :  T/ha</v>
      </c>
      <c r="L21" s="642"/>
      <c r="M21" s="642"/>
      <c r="N21" s="642" t="str">
        <f>SAISIE!F201</f>
        <v/>
      </c>
      <c r="O21" s="642"/>
      <c r="P21" s="642"/>
      <c r="Q21" s="642" t="str">
        <f>SAISIE!F202</f>
        <v/>
      </c>
      <c r="R21" s="642"/>
      <c r="S21" s="63"/>
      <c r="T21" s="63"/>
      <c r="U21" s="642" t="str">
        <f>K21</f>
        <v>Rdt :  T/ha</v>
      </c>
      <c r="V21" s="642"/>
      <c r="W21" s="642"/>
      <c r="X21" s="227"/>
      <c r="Y21" s="63"/>
      <c r="Z21" s="642" t="str">
        <f>N21</f>
        <v/>
      </c>
      <c r="AA21" s="642"/>
      <c r="AB21" s="63"/>
      <c r="AC21" s="63"/>
      <c r="AD21" s="642" t="str">
        <f>Q21</f>
        <v/>
      </c>
      <c r="AE21" s="642"/>
      <c r="AH21" s="5"/>
      <c r="AI21" s="5"/>
      <c r="AJ21" s="5"/>
      <c r="AK21" s="5"/>
      <c r="AL21" s="5"/>
      <c r="AM21" s="5"/>
      <c r="AN21" s="5"/>
      <c r="AO21" s="5"/>
    </row>
    <row r="22" spans="10:55" x14ac:dyDescent="0.25">
      <c r="J22" s="1"/>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row>
    <row r="23" spans="10:55" x14ac:dyDescent="0.25">
      <c r="J23" s="1"/>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row>
    <row r="24" spans="10:55" ht="15" customHeight="1" x14ac:dyDescent="0.25">
      <c r="J24" s="1"/>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row>
    <row r="25" spans="10:55" ht="15" customHeight="1" x14ac:dyDescent="0.25">
      <c r="J25" s="1"/>
      <c r="K25" s="1"/>
      <c r="L25" s="1"/>
    </row>
    <row r="26" spans="10:55" ht="15" customHeight="1" x14ac:dyDescent="0.25">
      <c r="J26" s="1"/>
      <c r="K26" s="1"/>
      <c r="L26" s="1"/>
    </row>
    <row r="27" spans="10:55" ht="15" customHeight="1" x14ac:dyDescent="0.25">
      <c r="J27" s="1"/>
      <c r="K27" s="1"/>
      <c r="L27" s="1"/>
    </row>
    <row r="28" spans="10:55" ht="15" customHeight="1" x14ac:dyDescent="0.25">
      <c r="J28" s="1"/>
      <c r="K28" s="1"/>
      <c r="L28" s="1"/>
    </row>
    <row r="29" spans="10:55" ht="15" customHeight="1" x14ac:dyDescent="0.25">
      <c r="J29" s="1"/>
      <c r="K29" s="1"/>
      <c r="L29" s="1"/>
    </row>
    <row r="30" spans="10:55" ht="15" customHeight="1" x14ac:dyDescent="0.25">
      <c r="J30" s="1"/>
      <c r="K30" s="1"/>
      <c r="L30" s="1"/>
    </row>
    <row r="31" spans="10:55" ht="15" customHeight="1" x14ac:dyDescent="0.25">
      <c r="J31" s="1"/>
      <c r="K31" s="1"/>
      <c r="L31" s="1"/>
    </row>
    <row r="32" spans="10:55" ht="15" customHeight="1" x14ac:dyDescent="0.25">
      <c r="J32" s="1"/>
      <c r="K32" s="1"/>
      <c r="L32" s="1"/>
    </row>
    <row r="33" spans="10:77" ht="15" customHeight="1" x14ac:dyDescent="0.25">
      <c r="J33" s="1"/>
      <c r="K33" s="1"/>
      <c r="L33" s="1"/>
    </row>
    <row r="34" spans="10:77" ht="15" customHeight="1" x14ac:dyDescent="0.25">
      <c r="J34" s="1"/>
      <c r="K34" s="1"/>
      <c r="L34" s="1"/>
    </row>
    <row r="35" spans="10:77" ht="15" customHeight="1" x14ac:dyDescent="0.25">
      <c r="J35" s="1"/>
      <c r="K35" s="1"/>
      <c r="L35" s="1"/>
    </row>
    <row r="36" spans="10:77" ht="15" customHeight="1" x14ac:dyDescent="0.25">
      <c r="J36" s="1"/>
      <c r="K36" s="1"/>
      <c r="L36" s="1"/>
    </row>
    <row r="37" spans="10:77" ht="15.75" customHeight="1" x14ac:dyDescent="0.25">
      <c r="J37" s="1"/>
      <c r="K37" s="1"/>
      <c r="L37" s="1"/>
    </row>
    <row r="38" spans="10:77" ht="15.75" customHeight="1" x14ac:dyDescent="0.25">
      <c r="J38" s="1"/>
      <c r="K38" s="1"/>
      <c r="L38" s="1"/>
    </row>
    <row r="39" spans="10:77" ht="15.75" customHeight="1" x14ac:dyDescent="0.25">
      <c r="J39" s="1"/>
      <c r="K39" s="1"/>
      <c r="L39" s="1"/>
    </row>
    <row r="40" spans="10:77" ht="15.75" customHeight="1" x14ac:dyDescent="0.25">
      <c r="J40" s="715" t="str">
        <f>SAISIE!G199</f>
        <v/>
      </c>
      <c r="K40" s="715"/>
      <c r="L40" s="715"/>
      <c r="M40" s="715"/>
      <c r="N40" s="715"/>
      <c r="O40" s="715"/>
      <c r="P40" s="715"/>
      <c r="Q40" s="715"/>
      <c r="R40" s="715"/>
      <c r="S40" s="715"/>
      <c r="T40" s="715"/>
      <c r="U40" s="715"/>
      <c r="V40" s="715"/>
      <c r="W40" s="715"/>
      <c r="X40" s="715"/>
      <c r="Y40" s="715"/>
      <c r="Z40" s="715"/>
      <c r="AA40" s="715"/>
      <c r="AB40" s="715"/>
      <c r="AC40" s="715"/>
      <c r="AD40" s="715"/>
      <c r="AE40" s="715"/>
      <c r="AF40" s="715"/>
      <c r="AG40" s="715"/>
      <c r="AH40" s="715"/>
      <c r="AI40" s="715"/>
      <c r="AJ40" s="715"/>
      <c r="AK40" s="715"/>
      <c r="AL40" s="715"/>
      <c r="AM40" s="715"/>
      <c r="AN40" s="715"/>
      <c r="AO40" s="715"/>
      <c r="BY40" s="70"/>
    </row>
    <row r="41" spans="10:77" ht="15" customHeight="1" x14ac:dyDescent="0.25">
      <c r="J41" s="715"/>
      <c r="K41" s="715"/>
      <c r="L41" s="715"/>
      <c r="M41" s="715"/>
      <c r="N41" s="715"/>
      <c r="O41" s="715"/>
      <c r="P41" s="715"/>
      <c r="Q41" s="715"/>
      <c r="R41" s="715"/>
      <c r="S41" s="715"/>
      <c r="T41" s="715"/>
      <c r="U41" s="715"/>
      <c r="V41" s="715"/>
      <c r="W41" s="715"/>
      <c r="X41" s="715"/>
      <c r="Y41" s="715"/>
      <c r="Z41" s="715"/>
      <c r="AA41" s="715"/>
      <c r="AB41" s="715"/>
      <c r="AC41" s="715"/>
      <c r="AD41" s="715"/>
      <c r="AE41" s="715"/>
      <c r="AF41" s="715"/>
      <c r="AG41" s="715"/>
      <c r="AH41" s="715"/>
      <c r="AI41" s="715"/>
      <c r="AJ41" s="715"/>
      <c r="AK41" s="715"/>
      <c r="AL41" s="715"/>
      <c r="AM41" s="715"/>
      <c r="AN41" s="715"/>
      <c r="AO41" s="715"/>
      <c r="BY41" s="70"/>
    </row>
    <row r="42" spans="10:77" ht="15" customHeight="1" x14ac:dyDescent="0.25">
      <c r="J42" s="1"/>
      <c r="K42" s="1"/>
      <c r="L42" s="1"/>
    </row>
    <row r="43" spans="10:77" x14ac:dyDescent="0.25">
      <c r="J43" s="1"/>
      <c r="K43" s="1"/>
      <c r="L43" s="1"/>
    </row>
    <row r="44" spans="10:77" ht="15" customHeight="1" x14ac:dyDescent="0.25">
      <c r="J44" s="1"/>
      <c r="K44" s="1"/>
      <c r="L44" s="1"/>
    </row>
    <row r="45" spans="10:77" ht="18.75" customHeight="1" x14ac:dyDescent="0.25">
      <c r="J45" s="1"/>
      <c r="K45" s="1"/>
      <c r="L45" s="1"/>
    </row>
    <row r="46" spans="10:77" ht="15" customHeight="1" x14ac:dyDescent="0.25">
      <c r="J46" s="1"/>
      <c r="K46" s="1"/>
      <c r="L46" s="1"/>
    </row>
    <row r="47" spans="10:77" ht="15" customHeight="1" x14ac:dyDescent="0.25">
      <c r="J47" s="1"/>
      <c r="K47" s="1"/>
      <c r="L47" s="1"/>
    </row>
    <row r="48" spans="10:77" ht="15" customHeight="1" x14ac:dyDescent="0.25">
      <c r="J48" s="1"/>
      <c r="K48" s="1"/>
      <c r="L48" s="1"/>
    </row>
    <row r="49" spans="10:64" x14ac:dyDescent="0.25">
      <c r="J49" s="1"/>
      <c r="K49" s="1"/>
      <c r="L49" s="1"/>
    </row>
    <row r="50" spans="10:64" x14ac:dyDescent="0.25">
      <c r="J50" s="1"/>
      <c r="K50" s="1"/>
      <c r="L50" s="1"/>
    </row>
    <row r="54" spans="10:64" ht="18.75" customHeight="1" x14ac:dyDescent="0.25">
      <c r="BC54" s="69"/>
    </row>
    <row r="55" spans="10:64" ht="15" customHeight="1" x14ac:dyDescent="0.25"/>
    <row r="56" spans="10:64" ht="15.75" x14ac:dyDescent="0.25">
      <c r="AX56" s="64"/>
      <c r="AY56" s="64"/>
      <c r="AZ56" s="64"/>
      <c r="BA56" s="64"/>
      <c r="BB56" s="64"/>
      <c r="BC56" s="64"/>
      <c r="BD56" s="64"/>
      <c r="BE56" s="64"/>
      <c r="BF56" s="64"/>
      <c r="BG56" s="64"/>
      <c r="BH56" s="64"/>
      <c r="BI56" s="64"/>
      <c r="BJ56" s="64"/>
      <c r="BK56" s="64"/>
      <c r="BL56" s="64"/>
    </row>
  </sheetData>
  <sheetProtection algorithmName="SHA-512" hashValue="B4Gt5RcEpVEfZYrKARgFJSJ76rvahrZm2RGeaHRcXRHcPRR9ekHpi8GRG4Q/2TvDlQeSkAIstvq79f03KOllYg==" saltValue="vqIsrWQ7yJZL9fEwGr+HdA==" spinCount="100000" sheet="1" objects="1" scenarios="1" selectLockedCells="1" selectUnlockedCells="1"/>
  <mergeCells count="11">
    <mergeCell ref="A14:AR14"/>
    <mergeCell ref="J40:AO41"/>
    <mergeCell ref="I1:O13"/>
    <mergeCell ref="K21:M21"/>
    <mergeCell ref="N21:P21"/>
    <mergeCell ref="Q21:R21"/>
    <mergeCell ref="U21:W21"/>
    <mergeCell ref="Z21:AA21"/>
    <mergeCell ref="AD21:AE21"/>
    <mergeCell ref="A15:AV15"/>
    <mergeCell ref="A16:AV16"/>
  </mergeCells>
  <printOptions horizontalCentered="1" verticalCentered="1"/>
  <pageMargins left="0.25" right="0.25" top="0.75" bottom="0.75" header="0.3" footer="0.3"/>
  <pageSetup paperSize="9" scale="6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8F98F-8B7B-4AFD-8FE7-F101A6241D16}">
  <sheetPr>
    <tabColor rgb="FFCCFF66"/>
    <pageSetUpPr fitToPage="1"/>
  </sheetPr>
  <dimension ref="A1:BY55"/>
  <sheetViews>
    <sheetView zoomScaleNormal="100" workbookViewId="0">
      <selection activeCell="AO2" sqref="AO2"/>
    </sheetView>
  </sheetViews>
  <sheetFormatPr baseColWidth="10" defaultRowHeight="15" x14ac:dyDescent="0.25"/>
  <cols>
    <col min="1" max="7" width="4.28515625" style="1" customWidth="1"/>
    <col min="8" max="8" width="6.140625" style="1" customWidth="1"/>
    <col min="9" max="9" width="4.28515625" style="1" customWidth="1"/>
    <col min="10" max="12" width="4.28515625" style="59" customWidth="1"/>
    <col min="13" max="65" width="4.28515625" style="1" customWidth="1"/>
    <col min="66" max="72" width="11.42578125" style="1"/>
    <col min="73" max="84" width="7.5703125" style="1" customWidth="1"/>
    <col min="85" max="16384" width="11.42578125" style="1"/>
  </cols>
  <sheetData>
    <row r="1" spans="1:55" ht="15.75" customHeight="1" x14ac:dyDescent="0.25">
      <c r="A1" s="70"/>
      <c r="B1" s="70"/>
      <c r="I1" s="523"/>
      <c r="J1" s="523"/>
      <c r="K1" s="523"/>
      <c r="L1" s="523"/>
      <c r="M1" s="523"/>
      <c r="N1" s="523"/>
      <c r="O1" s="523"/>
      <c r="P1" s="50"/>
    </row>
    <row r="2" spans="1:55" ht="15.75" customHeight="1" x14ac:dyDescent="0.25">
      <c r="A2" s="70"/>
      <c r="B2" s="70"/>
      <c r="I2" s="523"/>
      <c r="J2" s="523"/>
      <c r="K2" s="523"/>
      <c r="L2" s="523"/>
      <c r="M2" s="523"/>
      <c r="N2" s="523"/>
      <c r="O2" s="523"/>
      <c r="P2" s="50"/>
    </row>
    <row r="3" spans="1:55" ht="15.75" customHeight="1" x14ac:dyDescent="0.25">
      <c r="A3" s="70"/>
      <c r="B3" s="70"/>
      <c r="I3" s="523"/>
      <c r="J3" s="523"/>
      <c r="K3" s="523"/>
      <c r="L3" s="523"/>
      <c r="M3" s="523"/>
      <c r="N3" s="523"/>
      <c r="O3" s="523"/>
      <c r="P3" s="50"/>
    </row>
    <row r="4" spans="1:55" ht="15.75" customHeight="1" x14ac:dyDescent="0.25">
      <c r="A4" s="70"/>
      <c r="B4" s="70"/>
      <c r="I4" s="523"/>
      <c r="J4" s="523"/>
      <c r="K4" s="523"/>
      <c r="L4" s="523"/>
      <c r="M4" s="523"/>
      <c r="N4" s="523"/>
      <c r="O4" s="523"/>
      <c r="P4" s="50"/>
    </row>
    <row r="5" spans="1:55" ht="15.75" customHeight="1" x14ac:dyDescent="0.25">
      <c r="A5" s="70"/>
      <c r="B5" s="70"/>
      <c r="I5" s="523"/>
      <c r="J5" s="523"/>
      <c r="K5" s="523"/>
      <c r="L5" s="523"/>
      <c r="M5" s="523"/>
      <c r="N5" s="523"/>
      <c r="O5" s="523"/>
      <c r="P5" s="50"/>
    </row>
    <row r="6" spans="1:55" ht="15.75" customHeight="1" x14ac:dyDescent="0.25">
      <c r="A6" s="70"/>
      <c r="B6" s="70"/>
      <c r="I6" s="523"/>
      <c r="J6" s="523"/>
      <c r="K6" s="523"/>
      <c r="L6" s="523"/>
      <c r="M6" s="523"/>
      <c r="N6" s="523"/>
      <c r="O6" s="523"/>
      <c r="P6" s="50"/>
    </row>
    <row r="7" spans="1:55" ht="15.75" customHeight="1" x14ac:dyDescent="0.25">
      <c r="A7" s="70"/>
      <c r="B7" s="70"/>
      <c r="I7" s="523"/>
      <c r="J7" s="523"/>
      <c r="K7" s="523"/>
      <c r="L7" s="523"/>
      <c r="M7" s="523"/>
      <c r="N7" s="523"/>
      <c r="O7" s="523"/>
      <c r="P7" s="50"/>
    </row>
    <row r="8" spans="1:55" ht="15.75" customHeight="1" x14ac:dyDescent="0.25">
      <c r="A8" s="70"/>
      <c r="B8" s="70"/>
      <c r="I8" s="523"/>
      <c r="J8" s="523"/>
      <c r="K8" s="523"/>
      <c r="L8" s="523"/>
      <c r="M8" s="523"/>
      <c r="N8" s="523"/>
      <c r="O8" s="523"/>
      <c r="P8" s="50"/>
    </row>
    <row r="9" spans="1:55" ht="15.75" customHeight="1" x14ac:dyDescent="0.25">
      <c r="A9" s="70"/>
      <c r="B9" s="70"/>
      <c r="I9" s="523"/>
      <c r="J9" s="523"/>
      <c r="K9" s="523"/>
      <c r="L9" s="523"/>
      <c r="M9" s="523"/>
      <c r="N9" s="523"/>
      <c r="O9" s="523"/>
      <c r="P9" s="50"/>
    </row>
    <row r="10" spans="1:55" ht="15.75" customHeight="1" x14ac:dyDescent="0.25">
      <c r="A10" s="70"/>
      <c r="B10" s="70"/>
      <c r="I10" s="523"/>
      <c r="J10" s="523"/>
      <c r="K10" s="523"/>
      <c r="L10" s="523"/>
      <c r="M10" s="523"/>
      <c r="N10" s="523"/>
      <c r="O10" s="523"/>
      <c r="P10" s="50"/>
    </row>
    <row r="11" spans="1:55" ht="15.75" customHeight="1" x14ac:dyDescent="0.25">
      <c r="A11" s="70"/>
      <c r="B11" s="70"/>
      <c r="I11" s="523"/>
      <c r="J11" s="523"/>
      <c r="K11" s="523"/>
      <c r="L11" s="523"/>
      <c r="M11" s="523"/>
      <c r="N11" s="523"/>
      <c r="O11" s="523"/>
      <c r="P11" s="50"/>
    </row>
    <row r="12" spans="1:55" ht="15.75" customHeight="1" x14ac:dyDescent="0.25">
      <c r="A12" s="70"/>
      <c r="B12" s="70"/>
      <c r="I12" s="523"/>
      <c r="J12" s="523"/>
      <c r="K12" s="523"/>
      <c r="L12" s="523"/>
      <c r="M12" s="523"/>
      <c r="N12" s="523"/>
      <c r="O12" s="523"/>
      <c r="P12" s="50"/>
    </row>
    <row r="13" spans="1:55" ht="15.75" customHeight="1" x14ac:dyDescent="0.25">
      <c r="A13" s="70"/>
      <c r="B13" s="70"/>
      <c r="I13" s="523"/>
      <c r="J13" s="523"/>
      <c r="K13" s="523"/>
      <c r="L13" s="523"/>
      <c r="M13" s="523"/>
      <c r="N13" s="523"/>
      <c r="O13" s="523"/>
      <c r="P13" s="50"/>
    </row>
    <row r="14" spans="1:55" ht="34.5" customHeight="1" x14ac:dyDescent="0.5">
      <c r="A14" s="679" t="s">
        <v>25</v>
      </c>
      <c r="B14" s="679"/>
      <c r="C14" s="679"/>
      <c r="D14" s="679"/>
      <c r="E14" s="679"/>
      <c r="F14" s="679"/>
      <c r="G14" s="679"/>
      <c r="H14" s="679"/>
      <c r="I14" s="679"/>
      <c r="J14" s="679"/>
      <c r="K14" s="679"/>
      <c r="L14" s="679"/>
      <c r="M14" s="679"/>
      <c r="N14" s="679"/>
      <c r="O14" s="679"/>
      <c r="P14" s="679"/>
      <c r="Q14" s="679"/>
      <c r="R14" s="679"/>
      <c r="S14" s="679"/>
      <c r="T14" s="679"/>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679"/>
      <c r="AR14" s="679"/>
      <c r="AS14" s="190"/>
      <c r="AT14" s="191"/>
      <c r="AU14" s="191"/>
      <c r="AV14" s="192" t="str">
        <f>SAISIE!AY9</f>
        <v>Version 220512</v>
      </c>
    </row>
    <row r="15" spans="1:55" ht="23.25" customHeight="1" x14ac:dyDescent="0.35">
      <c r="A15" s="682" t="s">
        <v>91</v>
      </c>
      <c r="B15" s="682"/>
      <c r="C15" s="682"/>
      <c r="D15" s="682"/>
      <c r="E15" s="682"/>
      <c r="F15" s="682"/>
      <c r="G15" s="682"/>
      <c r="H15" s="682"/>
      <c r="I15" s="682"/>
      <c r="J15" s="682"/>
      <c r="K15" s="682"/>
      <c r="L15" s="682"/>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row>
    <row r="16" spans="1:55" ht="23.25" x14ac:dyDescent="0.35">
      <c r="A16" s="682" t="str">
        <f>IF(SAISIE!G14="","",SAISIE!G14)</f>
        <v/>
      </c>
      <c r="B16" s="682"/>
      <c r="C16" s="682"/>
      <c r="D16" s="682"/>
      <c r="E16" s="682"/>
      <c r="F16" s="682"/>
      <c r="G16" s="682"/>
      <c r="H16" s="682"/>
      <c r="I16" s="682"/>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3"/>
      <c r="AX16" s="3"/>
      <c r="AY16" s="3"/>
      <c r="AZ16" s="3"/>
      <c r="BA16" s="3"/>
      <c r="BB16" s="3"/>
      <c r="BC16" s="3"/>
    </row>
    <row r="17" spans="1:55" x14ac:dyDescent="0.25">
      <c r="J17" s="1"/>
      <c r="K17" s="5"/>
      <c r="L17" s="1"/>
      <c r="AQ17" s="3"/>
      <c r="AR17" s="3"/>
      <c r="AS17" s="3"/>
      <c r="AT17" s="3"/>
      <c r="AU17" s="3"/>
      <c r="AV17" s="3"/>
      <c r="AW17" s="3"/>
      <c r="AX17" s="3"/>
      <c r="AY17" s="3"/>
      <c r="AZ17" s="3"/>
      <c r="BA17" s="3"/>
      <c r="BB17" s="3"/>
      <c r="BC17" s="3"/>
    </row>
    <row r="18" spans="1:55" s="59" customFormat="1" x14ac:dyDescent="0.25">
      <c r="A18" s="1"/>
      <c r="B18" s="1"/>
      <c r="C18" s="1"/>
      <c r="D18" s="1"/>
      <c r="E18" s="1"/>
      <c r="F18" s="1"/>
      <c r="G18" s="1"/>
      <c r="H18" s="1"/>
      <c r="I18" s="1"/>
      <c r="J18" s="1"/>
      <c r="K18" s="5"/>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3"/>
      <c r="AR18" s="3"/>
      <c r="AS18" s="3"/>
      <c r="AT18" s="3"/>
      <c r="AU18" s="3"/>
      <c r="AV18" s="3"/>
    </row>
    <row r="19" spans="1:55" s="59" customFormat="1" x14ac:dyDescent="0.25"/>
    <row r="20" spans="1:55" s="59" customFormat="1" ht="15" customHeight="1" x14ac:dyDescent="0.25"/>
    <row r="21" spans="1:55" s="59" customFormat="1" x14ac:dyDescent="0.25"/>
    <row r="22" spans="1:55" s="59" customFormat="1" x14ac:dyDescent="0.25"/>
    <row r="23" spans="1:55" ht="15" customHeight="1" x14ac:dyDescent="0.25">
      <c r="A23" s="59"/>
      <c r="B23" s="59"/>
      <c r="C23" s="59"/>
      <c r="D23" s="59"/>
      <c r="E23" s="59"/>
      <c r="F23" s="59"/>
      <c r="G23" s="59"/>
      <c r="H23" s="59"/>
      <c r="I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row>
    <row r="24" spans="1:55" ht="15" customHeight="1" x14ac:dyDescent="0.25">
      <c r="J24" s="1"/>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row>
    <row r="25" spans="1:55" ht="15" customHeight="1" x14ac:dyDescent="0.25">
      <c r="J25" s="1"/>
      <c r="K25" s="1"/>
      <c r="L25" s="1"/>
    </row>
    <row r="26" spans="1:55" ht="15" customHeight="1" x14ac:dyDescent="0.25">
      <c r="J26" s="1"/>
      <c r="K26" s="1"/>
      <c r="L26" s="1"/>
    </row>
    <row r="27" spans="1:55" ht="15" customHeight="1" x14ac:dyDescent="0.25">
      <c r="J27" s="1"/>
      <c r="K27" s="1"/>
      <c r="L27" s="1"/>
    </row>
    <row r="28" spans="1:55" ht="15" customHeight="1" x14ac:dyDescent="0.25">
      <c r="J28" s="1"/>
      <c r="K28" s="1"/>
      <c r="L28" s="1"/>
    </row>
    <row r="29" spans="1:55" ht="15" customHeight="1" x14ac:dyDescent="0.25">
      <c r="J29" s="1"/>
      <c r="K29" s="1"/>
      <c r="L29" s="1"/>
    </row>
    <row r="30" spans="1:55" ht="15" customHeight="1" x14ac:dyDescent="0.25">
      <c r="J30" s="1"/>
      <c r="K30" s="1"/>
      <c r="L30" s="1"/>
    </row>
    <row r="31" spans="1:55" ht="15" customHeight="1" x14ac:dyDescent="0.25">
      <c r="J31" s="1"/>
      <c r="K31" s="1"/>
      <c r="L31" s="1"/>
    </row>
    <row r="32" spans="1:55" ht="15" customHeight="1" x14ac:dyDescent="0.25">
      <c r="J32" s="1"/>
      <c r="K32" s="1"/>
      <c r="L32" s="1"/>
    </row>
    <row r="33" spans="10:77" ht="15" customHeight="1" x14ac:dyDescent="0.25">
      <c r="J33" s="1"/>
      <c r="K33" s="1"/>
      <c r="L33" s="1"/>
    </row>
    <row r="34" spans="10:77" ht="15" customHeight="1" x14ac:dyDescent="0.25">
      <c r="J34" s="1"/>
      <c r="K34" s="1"/>
      <c r="L34" s="1"/>
    </row>
    <row r="35" spans="10:77" ht="15" customHeight="1" x14ac:dyDescent="0.25">
      <c r="J35" s="1"/>
      <c r="K35" s="1"/>
      <c r="L35" s="1"/>
    </row>
    <row r="36" spans="10:77" ht="15.75" customHeight="1" x14ac:dyDescent="0.25">
      <c r="J36" s="1"/>
      <c r="K36" s="1"/>
      <c r="L36" s="1"/>
    </row>
    <row r="37" spans="10:77" ht="15.75" customHeight="1" x14ac:dyDescent="0.25">
      <c r="J37" s="1"/>
      <c r="K37" s="1"/>
      <c r="L37" s="1"/>
    </row>
    <row r="38" spans="10:77" ht="15.75" customHeight="1" x14ac:dyDescent="0.25">
      <c r="J38" s="1"/>
      <c r="K38" s="1"/>
      <c r="L38" s="1"/>
    </row>
    <row r="39" spans="10:77" ht="15.75" customHeight="1" x14ac:dyDescent="0.25">
      <c r="J39" s="1"/>
      <c r="K39" s="1"/>
      <c r="L39" s="1"/>
      <c r="BY39" s="70"/>
    </row>
    <row r="40" spans="10:77" ht="15" customHeight="1" x14ac:dyDescent="0.25">
      <c r="J40" s="715" t="str">
        <f>SAISIE!G199</f>
        <v/>
      </c>
      <c r="K40" s="715"/>
      <c r="L40" s="715"/>
      <c r="M40" s="715"/>
      <c r="N40" s="715"/>
      <c r="O40" s="715"/>
      <c r="P40" s="715"/>
      <c r="Q40" s="715"/>
      <c r="R40" s="715"/>
      <c r="S40" s="715"/>
      <c r="T40" s="715"/>
      <c r="U40" s="715"/>
      <c r="V40" s="715"/>
      <c r="W40" s="715"/>
      <c r="X40" s="715"/>
      <c r="Y40" s="715"/>
      <c r="Z40" s="715"/>
      <c r="AA40" s="715"/>
      <c r="AB40" s="715"/>
      <c r="AC40" s="715"/>
      <c r="AD40" s="715"/>
      <c r="AE40" s="715"/>
      <c r="AF40" s="715"/>
      <c r="AG40" s="715"/>
      <c r="AH40" s="715"/>
      <c r="AI40" s="715"/>
      <c r="AJ40" s="715"/>
      <c r="AK40" s="715"/>
      <c r="AL40" s="715"/>
      <c r="AM40" s="715"/>
      <c r="AN40" s="715"/>
      <c r="AO40" s="715"/>
      <c r="BY40" s="70"/>
    </row>
    <row r="41" spans="10:77" ht="15" customHeight="1" x14ac:dyDescent="0.25">
      <c r="J41" s="715"/>
      <c r="K41" s="715"/>
      <c r="L41" s="715"/>
      <c r="M41" s="715"/>
      <c r="N41" s="715"/>
      <c r="O41" s="715"/>
      <c r="P41" s="715"/>
      <c r="Q41" s="715"/>
      <c r="R41" s="715"/>
      <c r="S41" s="715"/>
      <c r="T41" s="715"/>
      <c r="U41" s="715"/>
      <c r="V41" s="715"/>
      <c r="W41" s="715"/>
      <c r="X41" s="715"/>
      <c r="Y41" s="715"/>
      <c r="Z41" s="715"/>
      <c r="AA41" s="715"/>
      <c r="AB41" s="715"/>
      <c r="AC41" s="715"/>
      <c r="AD41" s="715"/>
      <c r="AE41" s="715"/>
      <c r="AF41" s="715"/>
      <c r="AG41" s="715"/>
      <c r="AH41" s="715"/>
      <c r="AI41" s="715"/>
      <c r="AJ41" s="715"/>
      <c r="AK41" s="715"/>
      <c r="AL41" s="715"/>
      <c r="AM41" s="715"/>
      <c r="AN41" s="715"/>
      <c r="AO41" s="715"/>
    </row>
    <row r="42" spans="10:77" x14ac:dyDescent="0.25">
      <c r="J42" s="1"/>
      <c r="K42" s="1"/>
      <c r="L42" s="1"/>
    </row>
    <row r="43" spans="10:77" ht="15" customHeight="1" x14ac:dyDescent="0.25">
      <c r="J43" s="1"/>
      <c r="K43" s="1"/>
      <c r="L43" s="1"/>
    </row>
    <row r="44" spans="10:77" ht="18.75" customHeight="1" x14ac:dyDescent="0.25">
      <c r="J44" s="1"/>
      <c r="K44" s="1"/>
      <c r="L44" s="1"/>
    </row>
    <row r="45" spans="10:77" ht="15" customHeight="1" x14ac:dyDescent="0.25">
      <c r="J45" s="1"/>
      <c r="K45" s="1"/>
      <c r="L45" s="1"/>
    </row>
    <row r="46" spans="10:77" ht="15" customHeight="1" x14ac:dyDescent="0.25">
      <c r="J46" s="1"/>
      <c r="K46" s="1"/>
      <c r="L46" s="1"/>
    </row>
    <row r="47" spans="10:77" ht="15" customHeight="1" x14ac:dyDescent="0.25">
      <c r="J47" s="1"/>
      <c r="K47" s="1"/>
      <c r="L47" s="1"/>
    </row>
    <row r="48" spans="10:77" x14ac:dyDescent="0.25">
      <c r="J48" s="1"/>
      <c r="K48" s="1"/>
      <c r="L48" s="1"/>
    </row>
    <row r="49" spans="10:64" x14ac:dyDescent="0.25">
      <c r="J49" s="1"/>
      <c r="K49" s="1"/>
      <c r="L49" s="1"/>
    </row>
    <row r="50" spans="10:64" x14ac:dyDescent="0.25">
      <c r="J50" s="1"/>
      <c r="K50" s="1"/>
      <c r="L50" s="1"/>
    </row>
    <row r="53" spans="10:64" ht="18.75" customHeight="1" x14ac:dyDescent="0.25">
      <c r="BC53" s="69"/>
    </row>
    <row r="54" spans="10:64" ht="15" customHeight="1" x14ac:dyDescent="0.25"/>
    <row r="55" spans="10:64" ht="15.75" x14ac:dyDescent="0.25">
      <c r="AX55" s="64"/>
      <c r="AY55" s="64"/>
      <c r="AZ55" s="64"/>
      <c r="BA55" s="64"/>
      <c r="BB55" s="64"/>
      <c r="BC55" s="64"/>
      <c r="BD55" s="64"/>
      <c r="BE55" s="64"/>
      <c r="BF55" s="64"/>
      <c r="BG55" s="64"/>
      <c r="BH55" s="64"/>
      <c r="BI55" s="64"/>
      <c r="BJ55" s="64"/>
      <c r="BK55" s="64"/>
      <c r="BL55" s="64"/>
    </row>
  </sheetData>
  <sheetProtection algorithmName="SHA-512" hashValue="3Yy+P485CbbJyVB6C6uYqicbQEGDSfcbtWB1JtgWJtbfnPb+f+yrwsLFWXyf/8punnhxnCykBeaGbPeI6vybIg==" saltValue="7Ses5vuqMGYUcO2htU7Yiw==" spinCount="100000" sheet="1" objects="1" scenarios="1" selectLockedCells="1" selectUnlockedCells="1"/>
  <mergeCells count="5">
    <mergeCell ref="J40:AO41"/>
    <mergeCell ref="A14:AR14"/>
    <mergeCell ref="I1:O13"/>
    <mergeCell ref="A15:AV15"/>
    <mergeCell ref="A16:AV16"/>
  </mergeCells>
  <printOptions horizontalCentered="1" verticalCentered="1"/>
  <pageMargins left="0.25" right="0.25" top="0.75" bottom="0.75" header="0.3" footer="0.3"/>
  <pageSetup paperSize="9" scale="6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7</vt:i4>
      </vt:variant>
    </vt:vector>
  </HeadingPairs>
  <TitlesOfParts>
    <vt:vector size="14" baseType="lpstr">
      <vt:lpstr>PRISE EN MAIN</vt:lpstr>
      <vt:lpstr>SAISIE</vt:lpstr>
      <vt:lpstr>RESULTATS Synthèse</vt:lpstr>
      <vt:lpstr>RESULTATS Tableaux</vt:lpstr>
      <vt:lpstr>RESULTATS CoutP-Seuil Com-Marge</vt:lpstr>
      <vt:lpstr>RESULTATS Ecart € Tonne</vt:lpstr>
      <vt:lpstr>RESULTATS Ecart € Hectare</vt:lpstr>
      <vt:lpstr>'PRISE EN MAIN'!Zone_d_impression</vt:lpstr>
      <vt:lpstr>'RESULTATS CoutP-Seuil Com-Marge'!Zone_d_impression</vt:lpstr>
      <vt:lpstr>'RESULTATS Ecart € Hectare'!Zone_d_impression</vt:lpstr>
      <vt:lpstr>'RESULTATS Ecart € Tonne'!Zone_d_impression</vt:lpstr>
      <vt:lpstr>'RESULTATS Synthèse'!Zone_d_impression</vt:lpstr>
      <vt:lpstr>'RESULTATS Tableaux'!Zone_d_impression</vt:lpstr>
      <vt:lpstr>SAISIE!Zone_d_impression</vt:lpstr>
    </vt:vector>
  </TitlesOfParts>
  <Company>ARVALIS Institut du végétal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Valérie Leveau</dc:creator>
  <cp:lastModifiedBy>MB</cp:lastModifiedBy>
  <cp:lastPrinted>2022-05-13T07:41:58Z</cp:lastPrinted>
  <dcterms:created xsi:type="dcterms:W3CDTF">2021-10-12T09:56:43Z</dcterms:created>
  <dcterms:modified xsi:type="dcterms:W3CDTF">2023-06-13T12:07:05Z</dcterms:modified>
</cp:coreProperties>
</file>